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zifei.yang/Desktop/"/>
    </mc:Choice>
  </mc:AlternateContent>
  <xr:revisionPtr revIDLastSave="0" documentId="13_ncr:1_{C141F0D0-AC99-E449-B5F4-F0FDCCBC6E88}" xr6:coauthVersionLast="47" xr6:coauthVersionMax="47" xr10:uidLastSave="{00000000-0000-0000-0000-000000000000}"/>
  <bookViews>
    <workbookView xWindow="1020" yWindow="500" windowWidth="29540" windowHeight="21100" xr2:uid="{24965644-B29E-AA4B-994F-B1B74B379FCF}"/>
  </bookViews>
  <sheets>
    <sheet name="Notes" sheetId="26" r:id="rId1"/>
    <sheet name="Summary" sheetId="25" r:id="rId2"/>
    <sheet name="GAR 2022 score" sheetId="42" r:id="rId3"/>
    <sheet name="Global sales" sheetId="24" r:id="rId4"/>
    <sheet name="ZEV eq sales share" sheetId="33" r:id="rId5"/>
    <sheet name="ZEV class coverage" sheetId="52" r:id="rId6"/>
    <sheet name="Energy consumption" sheetId="35" r:id="rId7"/>
    <sheet name="Charging speed" sheetId="36" r:id="rId8"/>
    <sheet name="Driving range" sheetId="37" r:id="rId9"/>
    <sheet name="Renewable energy" sheetId="7" r:id="rId10"/>
    <sheet name="Battery recycle repurpose" sheetId="11" r:id="rId11"/>
    <sheet name="ZEV target" sheetId="14" r:id="rId12"/>
    <sheet name="ZEV investment" sheetId="17" r:id="rId13"/>
    <sheet name="Executive compensation" sheetId="43" r:id="rId14"/>
    <sheet name="REF_CS-GAR OEM" sheetId="47" state="hidden" r:id="rId15"/>
  </sheets>
  <externalReferences>
    <externalReference r:id="rId16"/>
  </externalReferences>
  <definedNames>
    <definedName name="_xlnm._FilterDatabase" localSheetId="10" hidden="1">'Battery recycle repurpose'!$A$1:$K$1</definedName>
    <definedName name="_xlnm._FilterDatabase" localSheetId="13" hidden="1">'Executive compensation'!$A$1:$L$1</definedName>
    <definedName name="_xlnm._FilterDatabase" localSheetId="3" hidden="1">'Global sales'!$A$65:$W$65</definedName>
    <definedName name="_xlnm._FilterDatabase" localSheetId="1" hidden="1">Summary!$ES$2:$FJ$23</definedName>
    <definedName name="_xlnm._FilterDatabase" localSheetId="4" hidden="1">'ZEV eq sales share'!#REF!</definedName>
    <definedName name="_xlnm._FilterDatabase" localSheetId="12" hidden="1">'ZEV investment'!$A$2:$L$2</definedName>
    <definedName name="ab">#REF!</definedName>
    <definedName name="Chargingspeed">'Charging speed'!$C$1:$C$1</definedName>
    <definedName name="Ratingscore">Summary!#REF!</definedName>
    <definedName name="regs">[1]i28_data!$A:$E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43" l="1"/>
  <c r="H10" i="43"/>
  <c r="K100" i="25"/>
  <c r="J100" i="25"/>
  <c r="G5" i="43"/>
  <c r="I5" i="43"/>
  <c r="H5" i="43"/>
  <c r="J13" i="11"/>
  <c r="H12" i="43"/>
  <c r="I10" i="43"/>
  <c r="J76" i="25"/>
  <c r="J77" i="25"/>
  <c r="J78" i="25"/>
  <c r="J79" i="25"/>
  <c r="J80" i="25"/>
  <c r="J81" i="25"/>
  <c r="J82" i="25"/>
  <c r="J83" i="25"/>
  <c r="J84" i="25"/>
  <c r="J85" i="25"/>
  <c r="J86" i="25"/>
  <c r="J87" i="25"/>
  <c r="J88" i="25"/>
  <c r="J89" i="25"/>
  <c r="J90" i="25"/>
  <c r="J91" i="25"/>
  <c r="J92" i="25"/>
  <c r="J93" i="25"/>
  <c r="J94" i="25"/>
  <c r="J95" i="25"/>
  <c r="J75" i="25"/>
  <c r="J4" i="11" l="1"/>
  <c r="O16" i="52"/>
  <c r="S16" i="52" s="1"/>
  <c r="J18" i="11"/>
  <c r="I4" i="43"/>
  <c r="G4" i="43"/>
  <c r="J24" i="11"/>
  <c r="K4" i="11" s="1"/>
  <c r="J25" i="11"/>
  <c r="J26" i="11"/>
  <c r="J9" i="11" s="1"/>
  <c r="J27" i="11"/>
  <c r="J28" i="11"/>
  <c r="J16" i="11" s="1"/>
  <c r="J29" i="11"/>
  <c r="C6" i="43" l="1"/>
  <c r="H76" i="25"/>
  <c r="H77" i="25"/>
  <c r="H78" i="25"/>
  <c r="H79" i="25"/>
  <c r="H80" i="25"/>
  <c r="H81" i="25"/>
  <c r="H82" i="25"/>
  <c r="H83" i="25"/>
  <c r="H84" i="25"/>
  <c r="H85" i="25"/>
  <c r="H86" i="25"/>
  <c r="H87" i="25"/>
  <c r="H88" i="25"/>
  <c r="H89" i="25"/>
  <c r="H90" i="25"/>
  <c r="H91" i="25"/>
  <c r="H92" i="25"/>
  <c r="H93" i="25"/>
  <c r="H94" i="25"/>
  <c r="H95" i="25"/>
  <c r="H75" i="25"/>
  <c r="M14" i="7"/>
  <c r="M12" i="7"/>
  <c r="M11" i="7"/>
  <c r="H13" i="43"/>
  <c r="I14" i="43" l="1"/>
  <c r="I16" i="43"/>
  <c r="I17" i="43"/>
  <c r="I20" i="43"/>
  <c r="I2" i="43"/>
  <c r="I3" i="43"/>
  <c r="I19" i="43"/>
  <c r="I21" i="43"/>
  <c r="I15" i="43"/>
  <c r="I22" i="43"/>
  <c r="I18" i="43"/>
  <c r="AC23" i="17"/>
  <c r="E3" i="17"/>
  <c r="G4" i="17"/>
  <c r="G5" i="17"/>
  <c r="G6" i="17"/>
  <c r="G7" i="17"/>
  <c r="G8" i="17"/>
  <c r="G9" i="17"/>
  <c r="G10" i="17"/>
  <c r="G11" i="17"/>
  <c r="G12" i="17"/>
  <c r="G13" i="17"/>
  <c r="G15" i="17"/>
  <c r="G16" i="17"/>
  <c r="G17" i="17"/>
  <c r="G18" i="17"/>
  <c r="G19" i="17"/>
  <c r="G20" i="17"/>
  <c r="G21" i="17"/>
  <c r="G22" i="17"/>
  <c r="G23" i="17"/>
  <c r="G3" i="17"/>
  <c r="D9" i="17"/>
  <c r="D18" i="17"/>
  <c r="D21" i="17"/>
  <c r="D12" i="17"/>
  <c r="D17" i="17"/>
  <c r="D22" i="17"/>
  <c r="D19" i="17"/>
  <c r="D13" i="17"/>
  <c r="D7" i="17"/>
  <c r="D8" i="17"/>
  <c r="D4" i="17"/>
  <c r="D16" i="17"/>
  <c r="D3" i="17"/>
  <c r="D5" i="17"/>
  <c r="D23" i="17"/>
  <c r="D10" i="17"/>
  <c r="D6" i="17"/>
  <c r="D11" i="17"/>
  <c r="D15" i="17"/>
  <c r="D14" i="17"/>
  <c r="D20" i="17"/>
  <c r="B3" i="25"/>
  <c r="L27" i="25"/>
  <c r="L28" i="25"/>
  <c r="L29" i="25"/>
  <c r="L30" i="25"/>
  <c r="L31" i="25"/>
  <c r="L32" i="25"/>
  <c r="L33" i="25"/>
  <c r="L34" i="25"/>
  <c r="L35" i="25"/>
  <c r="L36" i="25"/>
  <c r="L37" i="25"/>
  <c r="L38" i="25"/>
  <c r="L39" i="25"/>
  <c r="L40" i="25"/>
  <c r="L41" i="25"/>
  <c r="L42" i="25"/>
  <c r="L43" i="25"/>
  <c r="L44" i="25"/>
  <c r="L45" i="25"/>
  <c r="L46" i="25"/>
  <c r="L47" i="25"/>
  <c r="P47" i="25" l="1"/>
  <c r="Q47" i="25"/>
  <c r="R47" i="25"/>
  <c r="AA15" i="25" l="1"/>
  <c r="AA19" i="25"/>
  <c r="J3" i="25"/>
  <c r="AA6" i="25" l="1"/>
  <c r="AA3" i="25"/>
  <c r="D83" i="25"/>
  <c r="O24" i="52"/>
  <c r="S24" i="52" s="1"/>
  <c r="O23" i="52"/>
  <c r="S23" i="52" s="1"/>
  <c r="O21" i="52"/>
  <c r="S21" i="52" s="1"/>
  <c r="O15" i="52"/>
  <c r="S15" i="52" s="1"/>
  <c r="O20" i="52"/>
  <c r="S20" i="52" s="1"/>
  <c r="O18" i="52"/>
  <c r="S18" i="52" s="1"/>
  <c r="O19" i="52"/>
  <c r="S19" i="52" s="1"/>
  <c r="O8" i="52"/>
  <c r="S8" i="52" s="1"/>
  <c r="O22" i="52"/>
  <c r="S22" i="52" s="1"/>
  <c r="O10" i="52"/>
  <c r="S10" i="52" s="1"/>
  <c r="O6" i="52"/>
  <c r="S6" i="52" s="1"/>
  <c r="O14" i="52"/>
  <c r="S14" i="52" s="1"/>
  <c r="O11" i="52"/>
  <c r="S11" i="52" s="1"/>
  <c r="O13" i="52"/>
  <c r="S13" i="52" s="1"/>
  <c r="O17" i="52"/>
  <c r="S17" i="52" s="1"/>
  <c r="O7" i="52"/>
  <c r="S7" i="52" s="1"/>
  <c r="O5" i="52"/>
  <c r="S5" i="52" s="1"/>
  <c r="O12" i="52"/>
  <c r="S12" i="52" s="1"/>
  <c r="O9" i="52"/>
  <c r="S9" i="52" s="1"/>
  <c r="D80" i="25" l="1"/>
  <c r="D82" i="25"/>
  <c r="D78" i="25"/>
  <c r="D84" i="25"/>
  <c r="D93" i="25"/>
  <c r="D76" i="25"/>
  <c r="D85" i="25"/>
  <c r="D86" i="25"/>
  <c r="D91" i="25"/>
  <c r="D94" i="25"/>
  <c r="D77" i="25"/>
  <c r="D92" i="25"/>
  <c r="D90" i="25"/>
  <c r="D89" i="25"/>
  <c r="D81" i="25"/>
  <c r="D75" i="25"/>
  <c r="D88" i="25"/>
  <c r="D95" i="25"/>
  <c r="D87" i="25"/>
  <c r="D79" i="25"/>
  <c r="D103" i="25" l="1"/>
  <c r="Y56" i="24" l="1"/>
  <c r="X56" i="24"/>
  <c r="W56" i="24"/>
  <c r="V56" i="24"/>
  <c r="U56" i="24"/>
  <c r="T56" i="24"/>
  <c r="Q56" i="24"/>
  <c r="P56" i="24"/>
  <c r="O56" i="24"/>
  <c r="N56" i="24"/>
  <c r="M56" i="24"/>
  <c r="L56" i="24"/>
  <c r="D56" i="24" s="1"/>
  <c r="AA55" i="24"/>
  <c r="D36" i="43" l="1"/>
  <c r="E28" i="43" l="1"/>
  <c r="G36" i="43"/>
  <c r="D12" i="43" l="1"/>
  <c r="F12" i="43"/>
  <c r="G12" i="43"/>
  <c r="C12" i="43"/>
  <c r="E12" i="43"/>
  <c r="I12" i="43" s="1"/>
  <c r="A84" i="25"/>
  <c r="AA4" i="25" l="1"/>
  <c r="AA5" i="25"/>
  <c r="AA7" i="25"/>
  <c r="AA8" i="25"/>
  <c r="AA9" i="25"/>
  <c r="AA10" i="25"/>
  <c r="AA11" i="25"/>
  <c r="AA12" i="25"/>
  <c r="AA13" i="25"/>
  <c r="AA14" i="25"/>
  <c r="AA16" i="25"/>
  <c r="AA17" i="25"/>
  <c r="AA18" i="25"/>
  <c r="AA20" i="25"/>
  <c r="AA21" i="25"/>
  <c r="AA22" i="25"/>
  <c r="AA23" i="25"/>
  <c r="P23" i="25"/>
  <c r="Q23" i="25"/>
  <c r="R23" i="25"/>
  <c r="B25" i="37"/>
  <c r="B6" i="36"/>
  <c r="B7" i="36"/>
  <c r="B8" i="36"/>
  <c r="B9" i="36"/>
  <c r="B10" i="36"/>
  <c r="B11" i="36"/>
  <c r="B12" i="36"/>
  <c r="B13" i="36"/>
  <c r="B14" i="36"/>
  <c r="B15" i="36"/>
  <c r="B16" i="36"/>
  <c r="B17" i="36"/>
  <c r="B18" i="36"/>
  <c r="B19" i="36"/>
  <c r="B20" i="36"/>
  <c r="B21" i="36"/>
  <c r="B22" i="36"/>
  <c r="B23" i="36"/>
  <c r="B24" i="36"/>
  <c r="B25" i="36"/>
  <c r="B6" i="35"/>
  <c r="B7" i="35"/>
  <c r="B8" i="35"/>
  <c r="B9" i="35"/>
  <c r="B10" i="35"/>
  <c r="B11" i="35"/>
  <c r="B12" i="35"/>
  <c r="B13" i="35"/>
  <c r="B14" i="35"/>
  <c r="B15" i="35"/>
  <c r="B16" i="35"/>
  <c r="B17" i="35"/>
  <c r="B18" i="35"/>
  <c r="B19" i="35"/>
  <c r="B20" i="35"/>
  <c r="B21" i="35"/>
  <c r="B22" i="35"/>
  <c r="B23" i="35"/>
  <c r="B24" i="35"/>
  <c r="B25" i="35"/>
  <c r="B6" i="33"/>
  <c r="B7" i="33"/>
  <c r="B8" i="33"/>
  <c r="B9" i="33"/>
  <c r="B10" i="33"/>
  <c r="B11" i="33"/>
  <c r="B12" i="33"/>
  <c r="B13" i="33"/>
  <c r="B14" i="33"/>
  <c r="B15" i="33"/>
  <c r="B16" i="33"/>
  <c r="B17" i="33"/>
  <c r="B18" i="33"/>
  <c r="B19" i="33"/>
  <c r="B20" i="33"/>
  <c r="B21" i="33"/>
  <c r="B22" i="33"/>
  <c r="B23" i="33"/>
  <c r="B24" i="33"/>
  <c r="B25" i="33"/>
  <c r="B5" i="33"/>
  <c r="G14" i="17"/>
  <c r="C94" i="25" l="1"/>
  <c r="J22" i="43" s="1"/>
  <c r="C87" i="25"/>
  <c r="J12" i="43" s="1"/>
  <c r="C95" i="25"/>
  <c r="J18" i="43" s="1"/>
  <c r="C84" i="25"/>
  <c r="J5" i="43" s="1"/>
  <c r="I14" i="17"/>
  <c r="J14" i="17" s="1"/>
  <c r="C80" i="25"/>
  <c r="J6" i="43" s="1"/>
  <c r="C81" i="25"/>
  <c r="J9" i="43" s="1"/>
  <c r="C89" i="25"/>
  <c r="J20" i="43" s="1"/>
  <c r="C88" i="25"/>
  <c r="J7" i="43" s="1"/>
  <c r="C82" i="25"/>
  <c r="J11" i="43" s="1"/>
  <c r="C90" i="25"/>
  <c r="J2" i="43" s="1"/>
  <c r="C75" i="25"/>
  <c r="J14" i="43" s="1"/>
  <c r="C83" i="25"/>
  <c r="J17" i="43" s="1"/>
  <c r="C91" i="25"/>
  <c r="J3" i="43" s="1"/>
  <c r="C79" i="25"/>
  <c r="J16" i="43" s="1"/>
  <c r="C76" i="25"/>
  <c r="J10" i="43" s="1"/>
  <c r="C92" i="25"/>
  <c r="J13" i="43" s="1"/>
  <c r="C77" i="25"/>
  <c r="J15" i="43" s="1"/>
  <c r="C85" i="25"/>
  <c r="J19" i="43" s="1"/>
  <c r="C93" i="25"/>
  <c r="J21" i="43" s="1"/>
  <c r="C78" i="25"/>
  <c r="J4" i="43" s="1"/>
  <c r="C86" i="25"/>
  <c r="J8" i="43" s="1"/>
  <c r="K15" i="43" l="1"/>
  <c r="L77" i="25" s="1"/>
  <c r="K16" i="43"/>
  <c r="L79" i="25" s="1"/>
  <c r="K17" i="43"/>
  <c r="L83" i="25" s="1"/>
  <c r="K22" i="43"/>
  <c r="L94" i="25" s="1"/>
  <c r="K14" i="43"/>
  <c r="L75" i="25" s="1"/>
  <c r="K21" i="43"/>
  <c r="L93" i="25" s="1"/>
  <c r="K18" i="43"/>
  <c r="L95" i="25" s="1"/>
  <c r="K19" i="43"/>
  <c r="L85" i="25" s="1"/>
  <c r="K20" i="43"/>
  <c r="L89" i="25" s="1"/>
  <c r="L87" i="25"/>
  <c r="J5" i="11"/>
  <c r="I84" i="11"/>
  <c r="J84" i="11" s="1"/>
  <c r="I57" i="11"/>
  <c r="J57" i="11" s="1"/>
  <c r="G4" i="24"/>
  <c r="G5" i="24"/>
  <c r="G6" i="24"/>
  <c r="G7" i="24"/>
  <c r="G8" i="24"/>
  <c r="G9" i="24"/>
  <c r="G10" i="24"/>
  <c r="G11" i="24"/>
  <c r="G12" i="24"/>
  <c r="G13" i="24"/>
  <c r="G14" i="24"/>
  <c r="G15" i="24"/>
  <c r="G16" i="24"/>
  <c r="G17" i="24"/>
  <c r="G18" i="24"/>
  <c r="G19" i="24"/>
  <c r="G20" i="24"/>
  <c r="G21" i="24"/>
  <c r="G22" i="24"/>
  <c r="G23" i="24"/>
  <c r="G3" i="24"/>
  <c r="F4" i="24"/>
  <c r="F5" i="24"/>
  <c r="F6" i="24"/>
  <c r="F7" i="24"/>
  <c r="F8" i="24"/>
  <c r="F9" i="24"/>
  <c r="F10" i="24"/>
  <c r="F11" i="24"/>
  <c r="F12" i="24"/>
  <c r="F13" i="24"/>
  <c r="F14" i="24"/>
  <c r="F15" i="24"/>
  <c r="F16" i="24"/>
  <c r="F17" i="24"/>
  <c r="F18" i="24"/>
  <c r="F19" i="24"/>
  <c r="F20" i="24"/>
  <c r="F21" i="24"/>
  <c r="F22" i="24"/>
  <c r="F23" i="24"/>
  <c r="F3" i="24"/>
  <c r="E4" i="24"/>
  <c r="E5" i="24"/>
  <c r="E6" i="24"/>
  <c r="E7" i="24"/>
  <c r="E8" i="24"/>
  <c r="E9" i="24"/>
  <c r="E10" i="24"/>
  <c r="E11" i="24"/>
  <c r="E12" i="24"/>
  <c r="E13" i="24"/>
  <c r="E14" i="24"/>
  <c r="E15" i="24"/>
  <c r="E16" i="24"/>
  <c r="E17" i="24"/>
  <c r="E18" i="24"/>
  <c r="E19" i="24"/>
  <c r="E20" i="24"/>
  <c r="E21" i="24"/>
  <c r="E22" i="24"/>
  <c r="E23" i="24"/>
  <c r="E3" i="24"/>
  <c r="D4" i="24"/>
  <c r="D5" i="24"/>
  <c r="D6" i="24"/>
  <c r="D7" i="24"/>
  <c r="D8" i="24"/>
  <c r="D9" i="24"/>
  <c r="D10" i="24"/>
  <c r="D11" i="24"/>
  <c r="D12" i="24"/>
  <c r="D13" i="24"/>
  <c r="D14" i="24"/>
  <c r="D15" i="24"/>
  <c r="D16" i="24"/>
  <c r="D17" i="24"/>
  <c r="D18" i="24"/>
  <c r="D19" i="24"/>
  <c r="D20" i="24"/>
  <c r="D21" i="24"/>
  <c r="D22" i="24"/>
  <c r="D23" i="24"/>
  <c r="D3" i="24"/>
  <c r="C4" i="24"/>
  <c r="C5" i="24"/>
  <c r="C6" i="24"/>
  <c r="C7" i="24"/>
  <c r="C8" i="24"/>
  <c r="C9" i="24"/>
  <c r="C10" i="24"/>
  <c r="C11" i="24"/>
  <c r="C12" i="24"/>
  <c r="C13" i="24"/>
  <c r="C14" i="24"/>
  <c r="C15" i="24"/>
  <c r="C16" i="24"/>
  <c r="C17" i="24"/>
  <c r="C18" i="24"/>
  <c r="C19" i="24"/>
  <c r="C20" i="24"/>
  <c r="C21" i="24"/>
  <c r="C22" i="24"/>
  <c r="C23" i="24"/>
  <c r="C3" i="24"/>
  <c r="B4" i="24"/>
  <c r="B5" i="24"/>
  <c r="B6" i="24"/>
  <c r="B7" i="24"/>
  <c r="B8" i="24"/>
  <c r="B9" i="24"/>
  <c r="B10" i="24"/>
  <c r="B11" i="24"/>
  <c r="B12" i="24"/>
  <c r="B13" i="24"/>
  <c r="B14" i="24"/>
  <c r="B15" i="24"/>
  <c r="B16" i="24"/>
  <c r="B17" i="24"/>
  <c r="B18" i="24"/>
  <c r="B19" i="24"/>
  <c r="B20" i="24"/>
  <c r="B21" i="24"/>
  <c r="B22" i="24"/>
  <c r="B23" i="24"/>
  <c r="B3" i="24"/>
  <c r="J62" i="24"/>
  <c r="J61" i="24"/>
  <c r="L61" i="24"/>
  <c r="R61" i="24" s="1"/>
  <c r="M61" i="24"/>
  <c r="N61" i="24"/>
  <c r="O61" i="24"/>
  <c r="G61" i="24" s="1"/>
  <c r="P61" i="24"/>
  <c r="Q61" i="24"/>
  <c r="T61" i="24"/>
  <c r="D61" i="24"/>
  <c r="U61" i="24"/>
  <c r="E61" i="24" s="1"/>
  <c r="V61" i="24"/>
  <c r="F61" i="24" s="1"/>
  <c r="W61" i="24"/>
  <c r="X61" i="24"/>
  <c r="H61" i="24" s="1"/>
  <c r="Y61" i="24"/>
  <c r="I61" i="24" s="1"/>
  <c r="Y59" i="24" a="1"/>
  <c r="Y59" i="24" s="1"/>
  <c r="X59" i="24" a="1"/>
  <c r="X59" i="24" s="1"/>
  <c r="W59" i="24" a="1"/>
  <c r="W59" i="24" s="1"/>
  <c r="V59" i="24" a="1"/>
  <c r="V59" i="24" s="1"/>
  <c r="U59" i="24" a="1"/>
  <c r="U59" i="24" s="1"/>
  <c r="T59" i="24" a="1"/>
  <c r="T59" i="24" s="1"/>
  <c r="Z59" i="24" s="1"/>
  <c r="Q59" i="24" a="1"/>
  <c r="Q59" i="24" s="1"/>
  <c r="L36" i="24"/>
  <c r="Y36" i="24"/>
  <c r="Y37" i="24"/>
  <c r="Y38" i="24"/>
  <c r="Y39" i="24"/>
  <c r="Y40" i="24"/>
  <c r="Y41" i="24"/>
  <c r="Y42" i="24"/>
  <c r="Y43" i="24"/>
  <c r="Y44" i="24"/>
  <c r="Y45" i="24"/>
  <c r="Y46" i="24"/>
  <c r="Y47" i="24"/>
  <c r="Y48" i="24"/>
  <c r="Y49" i="24"/>
  <c r="Y50" i="24"/>
  <c r="Y51" i="24"/>
  <c r="Y52" i="24"/>
  <c r="Y53" i="24"/>
  <c r="Y54" i="24"/>
  <c r="Y55" i="24"/>
  <c r="Y57" i="24"/>
  <c r="Y58" i="24"/>
  <c r="Y60" i="24"/>
  <c r="Y35" i="24"/>
  <c r="X36" i="24"/>
  <c r="X37" i="24"/>
  <c r="X38" i="24"/>
  <c r="X39" i="24"/>
  <c r="X40" i="24"/>
  <c r="X41" i="24"/>
  <c r="X42" i="24"/>
  <c r="X43" i="24"/>
  <c r="X44" i="24"/>
  <c r="X45" i="24"/>
  <c r="X46" i="24"/>
  <c r="X47" i="24"/>
  <c r="X48" i="24"/>
  <c r="X49" i="24"/>
  <c r="X50" i="24"/>
  <c r="X51" i="24"/>
  <c r="X52" i="24"/>
  <c r="X53" i="24"/>
  <c r="X54" i="24"/>
  <c r="X55" i="24"/>
  <c r="X57" i="24"/>
  <c r="X58" i="24"/>
  <c r="X60" i="24"/>
  <c r="X35" i="24"/>
  <c r="W36" i="24"/>
  <c r="W37" i="24"/>
  <c r="W38" i="24"/>
  <c r="W39" i="24"/>
  <c r="W40" i="24"/>
  <c r="W41" i="24"/>
  <c r="W42" i="24"/>
  <c r="W43" i="24"/>
  <c r="W44" i="24"/>
  <c r="W45" i="24"/>
  <c r="W46" i="24"/>
  <c r="W47" i="24"/>
  <c r="W48" i="24"/>
  <c r="W49" i="24"/>
  <c r="W50" i="24"/>
  <c r="W51" i="24"/>
  <c r="W52" i="24"/>
  <c r="W53" i="24"/>
  <c r="W54" i="24"/>
  <c r="W55" i="24"/>
  <c r="W57" i="24"/>
  <c r="W58" i="24"/>
  <c r="W60" i="24"/>
  <c r="W35" i="24"/>
  <c r="V36" i="24"/>
  <c r="V37" i="24"/>
  <c r="V38" i="24"/>
  <c r="V39" i="24"/>
  <c r="V40" i="24"/>
  <c r="V41" i="24"/>
  <c r="V42" i="24"/>
  <c r="V43" i="24"/>
  <c r="V44" i="24"/>
  <c r="V45" i="24"/>
  <c r="V46" i="24"/>
  <c r="V47" i="24"/>
  <c r="V48" i="24"/>
  <c r="V49" i="24"/>
  <c r="V50" i="24"/>
  <c r="V51" i="24"/>
  <c r="V52" i="24"/>
  <c r="V53" i="24"/>
  <c r="V54" i="24"/>
  <c r="V55" i="24"/>
  <c r="V57" i="24"/>
  <c r="V58" i="24"/>
  <c r="V60" i="24"/>
  <c r="V35" i="24"/>
  <c r="U36" i="24"/>
  <c r="U37" i="24"/>
  <c r="U38" i="24"/>
  <c r="U39" i="24"/>
  <c r="U40" i="24"/>
  <c r="U41" i="24"/>
  <c r="U42" i="24"/>
  <c r="U43" i="24"/>
  <c r="U44" i="24"/>
  <c r="U45" i="24"/>
  <c r="U46" i="24"/>
  <c r="U47" i="24"/>
  <c r="U48" i="24"/>
  <c r="U49" i="24"/>
  <c r="U50" i="24"/>
  <c r="U51" i="24"/>
  <c r="U52" i="24"/>
  <c r="U53" i="24"/>
  <c r="U54" i="24"/>
  <c r="U55" i="24"/>
  <c r="U57" i="24"/>
  <c r="U58" i="24"/>
  <c r="U60" i="24"/>
  <c r="U35" i="24"/>
  <c r="T35" i="24"/>
  <c r="Z35" i="24" s="1"/>
  <c r="T36" i="24"/>
  <c r="Z36" i="24" s="1"/>
  <c r="T37" i="24"/>
  <c r="T38" i="24"/>
  <c r="T39" i="24"/>
  <c r="T40" i="24"/>
  <c r="T41" i="24"/>
  <c r="T42" i="24"/>
  <c r="Z42" i="24" s="1"/>
  <c r="T43" i="24"/>
  <c r="Z43" i="24" s="1"/>
  <c r="T44" i="24"/>
  <c r="Z44" i="24" s="1"/>
  <c r="T45" i="24"/>
  <c r="T46" i="24"/>
  <c r="T47" i="24"/>
  <c r="T48" i="24"/>
  <c r="T49" i="24"/>
  <c r="T50" i="24"/>
  <c r="Z50" i="24" s="1"/>
  <c r="T51" i="24"/>
  <c r="Z51" i="24" s="1"/>
  <c r="T52" i="24"/>
  <c r="Z52" i="24" s="1"/>
  <c r="T53" i="24"/>
  <c r="T54" i="24"/>
  <c r="T55" i="24"/>
  <c r="T57" i="24"/>
  <c r="T58" i="24"/>
  <c r="Z58" i="24" s="1"/>
  <c r="T60" i="24"/>
  <c r="Z60" i="24" s="1"/>
  <c r="P59" i="24" a="1"/>
  <c r="P59" i="24" s="1"/>
  <c r="O59" i="24" a="1"/>
  <c r="O59" i="24" s="1"/>
  <c r="N59" i="24" a="1"/>
  <c r="N59" i="24" s="1"/>
  <c r="M59" i="24" a="1"/>
  <c r="M59" i="24" s="1"/>
  <c r="L59" i="24" a="1"/>
  <c r="L59" i="24" s="1"/>
  <c r="Q36" i="24"/>
  <c r="Q37" i="24"/>
  <c r="Q38" i="24"/>
  <c r="Q39" i="24"/>
  <c r="Q40" i="24"/>
  <c r="Q41" i="24"/>
  <c r="Q42" i="24"/>
  <c r="Q43" i="24"/>
  <c r="Q44" i="24"/>
  <c r="Q45" i="24"/>
  <c r="Q46" i="24"/>
  <c r="Q47" i="24"/>
  <c r="Q48" i="24"/>
  <c r="Q49" i="24"/>
  <c r="Q50" i="24"/>
  <c r="Q51" i="24"/>
  <c r="Q52" i="24"/>
  <c r="Q53" i="24"/>
  <c r="Q54" i="24"/>
  <c r="Q55" i="24"/>
  <c r="Q57" i="24"/>
  <c r="Q58" i="24"/>
  <c r="Q60" i="24"/>
  <c r="Q35" i="24"/>
  <c r="P36" i="24"/>
  <c r="P37" i="24"/>
  <c r="P38" i="24"/>
  <c r="P39" i="24"/>
  <c r="P40" i="24"/>
  <c r="P41" i="24"/>
  <c r="P42" i="24"/>
  <c r="P43" i="24"/>
  <c r="P44" i="24"/>
  <c r="P45" i="24"/>
  <c r="P46" i="24"/>
  <c r="P47" i="24"/>
  <c r="P48" i="24"/>
  <c r="P49" i="24"/>
  <c r="P50" i="24"/>
  <c r="P51" i="24"/>
  <c r="P52" i="24"/>
  <c r="P53" i="24"/>
  <c r="P54" i="24"/>
  <c r="P55" i="24"/>
  <c r="P57" i="24"/>
  <c r="P58" i="24"/>
  <c r="P60" i="24"/>
  <c r="P35" i="24"/>
  <c r="O36" i="24"/>
  <c r="O37" i="24"/>
  <c r="O38" i="24"/>
  <c r="O39" i="24"/>
  <c r="O40" i="24"/>
  <c r="O41" i="24"/>
  <c r="O42" i="24"/>
  <c r="O43" i="24"/>
  <c r="O44" i="24"/>
  <c r="O45" i="24"/>
  <c r="O46" i="24"/>
  <c r="O47" i="24"/>
  <c r="O48" i="24"/>
  <c r="O49" i="24"/>
  <c r="O50" i="24"/>
  <c r="O51" i="24"/>
  <c r="O52" i="24"/>
  <c r="O53" i="24"/>
  <c r="O54" i="24"/>
  <c r="O55" i="24"/>
  <c r="O57" i="24"/>
  <c r="O58" i="24"/>
  <c r="O60" i="24"/>
  <c r="O35" i="24"/>
  <c r="N36" i="24"/>
  <c r="N37" i="24"/>
  <c r="N38" i="24"/>
  <c r="N39" i="24"/>
  <c r="N40" i="24"/>
  <c r="N41" i="24"/>
  <c r="N42" i="24"/>
  <c r="N43" i="24"/>
  <c r="N44" i="24"/>
  <c r="N45" i="24"/>
  <c r="N46" i="24"/>
  <c r="N47" i="24"/>
  <c r="N48" i="24"/>
  <c r="N49" i="24"/>
  <c r="N50" i="24"/>
  <c r="N51" i="24"/>
  <c r="N52" i="24"/>
  <c r="N53" i="24"/>
  <c r="N54" i="24"/>
  <c r="N55" i="24"/>
  <c r="N57" i="24"/>
  <c r="N58" i="24"/>
  <c r="N60" i="24"/>
  <c r="N35" i="24"/>
  <c r="M35" i="24"/>
  <c r="M36" i="24"/>
  <c r="M37" i="24"/>
  <c r="M38" i="24"/>
  <c r="M39" i="24"/>
  <c r="M40" i="24"/>
  <c r="M41" i="24"/>
  <c r="M42" i="24"/>
  <c r="M43" i="24"/>
  <c r="M44" i="24"/>
  <c r="M45" i="24"/>
  <c r="M46" i="24"/>
  <c r="M47" i="24"/>
  <c r="M48" i="24"/>
  <c r="M49" i="24"/>
  <c r="M50" i="24"/>
  <c r="M51" i="24"/>
  <c r="M52" i="24"/>
  <c r="M53" i="24"/>
  <c r="M54" i="24"/>
  <c r="M55" i="24"/>
  <c r="M57" i="24"/>
  <c r="M58" i="24"/>
  <c r="M60" i="24"/>
  <c r="L60" i="24"/>
  <c r="R60" i="24" s="1"/>
  <c r="L58" i="24"/>
  <c r="L57" i="24"/>
  <c r="L35" i="24"/>
  <c r="L37" i="24"/>
  <c r="L38" i="24"/>
  <c r="R38" i="24" s="1"/>
  <c r="L39" i="24"/>
  <c r="R39" i="24" s="1"/>
  <c r="L40" i="24"/>
  <c r="R40" i="24" s="1"/>
  <c r="L41" i="24"/>
  <c r="L42" i="24"/>
  <c r="L43" i="24"/>
  <c r="L44" i="24"/>
  <c r="L45" i="24"/>
  <c r="L46" i="24"/>
  <c r="R46" i="24" s="1"/>
  <c r="L47" i="24"/>
  <c r="R47" i="24" s="1"/>
  <c r="L48" i="24"/>
  <c r="R48" i="24" s="1"/>
  <c r="L49" i="24"/>
  <c r="L50" i="24"/>
  <c r="L51" i="24"/>
  <c r="L52" i="24"/>
  <c r="L53" i="24"/>
  <c r="L54" i="24"/>
  <c r="R54" i="24" s="1"/>
  <c r="L55" i="24"/>
  <c r="R55" i="24" s="1"/>
  <c r="R56" i="24"/>
  <c r="E24" i="24" l="1"/>
  <c r="D24" i="24"/>
  <c r="C24" i="24"/>
  <c r="G24" i="24"/>
  <c r="F24" i="24"/>
  <c r="B24" i="24"/>
  <c r="H23" i="24"/>
  <c r="Z61" i="24"/>
  <c r="R41" i="24"/>
  <c r="R53" i="24"/>
  <c r="R51" i="24"/>
  <c r="R43" i="24"/>
  <c r="R45" i="24"/>
  <c r="R52" i="24"/>
  <c r="R49" i="24"/>
  <c r="R37" i="24"/>
  <c r="R44" i="24"/>
  <c r="R35" i="24"/>
  <c r="R57" i="24"/>
  <c r="Z54" i="24"/>
  <c r="Z46" i="24"/>
  <c r="Z38" i="24"/>
  <c r="Z57" i="24"/>
  <c r="Z49" i="24"/>
  <c r="Z41" i="24"/>
  <c r="Z53" i="24"/>
  <c r="Z45" i="24"/>
  <c r="Z37" i="24"/>
  <c r="Z55" i="24"/>
  <c r="Z47" i="24"/>
  <c r="Z39" i="24"/>
  <c r="Z56" i="24"/>
  <c r="Z48" i="24"/>
  <c r="Z40" i="24"/>
  <c r="R58" i="24"/>
  <c r="R50" i="24"/>
  <c r="R42" i="24"/>
  <c r="R59" i="24"/>
  <c r="S54" i="24"/>
  <c r="R36" i="24"/>
  <c r="D36" i="24"/>
  <c r="E19" i="17" l="1"/>
  <c r="F19" i="17" s="1"/>
  <c r="H19" i="17" s="1"/>
  <c r="E21" i="17"/>
  <c r="F21" i="17" s="1"/>
  <c r="H21" i="17" s="1"/>
  <c r="E15" i="17"/>
  <c r="F15" i="17" s="1"/>
  <c r="H15" i="17" s="1"/>
  <c r="E17" i="17"/>
  <c r="F17" i="17" s="1"/>
  <c r="H17" i="17" s="1"/>
  <c r="E10" i="17"/>
  <c r="F10" i="17" s="1"/>
  <c r="H10" i="17" s="1"/>
  <c r="E23" i="17"/>
  <c r="F23" i="17" s="1"/>
  <c r="H23" i="17" s="1"/>
  <c r="E4" i="17"/>
  <c r="F4" i="17" s="1"/>
  <c r="H4" i="17" s="1"/>
  <c r="E11" i="17"/>
  <c r="F11" i="17" s="1"/>
  <c r="H11" i="17" s="1"/>
  <c r="E5" i="17"/>
  <c r="F5" i="17" s="1"/>
  <c r="H5" i="17" s="1"/>
  <c r="E14" i="17"/>
  <c r="F14" i="17" s="1"/>
  <c r="H14" i="17" s="1"/>
  <c r="E16" i="17"/>
  <c r="F16" i="17" s="1"/>
  <c r="H16" i="17" s="1"/>
  <c r="E12" i="17"/>
  <c r="F12" i="17" s="1"/>
  <c r="H12" i="17" s="1"/>
  <c r="E6" i="17"/>
  <c r="F6" i="17" s="1"/>
  <c r="H6" i="17" s="1"/>
  <c r="E22" i="17"/>
  <c r="F22" i="17" s="1"/>
  <c r="H22" i="17" s="1"/>
  <c r="E9" i="17"/>
  <c r="F9" i="17" s="1"/>
  <c r="H9" i="17" s="1"/>
  <c r="E7" i="17"/>
  <c r="F7" i="17" s="1"/>
  <c r="H7" i="17" s="1"/>
  <c r="E8" i="17"/>
  <c r="F8" i="17" s="1"/>
  <c r="H8" i="17" s="1"/>
  <c r="E20" i="17"/>
  <c r="F20" i="17" s="1"/>
  <c r="H20" i="17" s="1"/>
  <c r="A57" i="11"/>
  <c r="A84" i="11"/>
  <c r="C73" i="42"/>
  <c r="D73" i="42"/>
  <c r="E73" i="42"/>
  <c r="A73" i="42"/>
  <c r="C24" i="42"/>
  <c r="ED4" i="25"/>
  <c r="ED5" i="25"/>
  <c r="ED6" i="25"/>
  <c r="ED7" i="25"/>
  <c r="ED8" i="25"/>
  <c r="ED9" i="25"/>
  <c r="ED10" i="25"/>
  <c r="ED11" i="25"/>
  <c r="ED12" i="25"/>
  <c r="ED13" i="25"/>
  <c r="ED14" i="25"/>
  <c r="ED15" i="25"/>
  <c r="ED16" i="25"/>
  <c r="ED17" i="25"/>
  <c r="ED18" i="25"/>
  <c r="ED19" i="25"/>
  <c r="ED20" i="25"/>
  <c r="ED21" i="25"/>
  <c r="ED22" i="25"/>
  <c r="ED23" i="25"/>
  <c r="ED3" i="25"/>
  <c r="DT4" i="25"/>
  <c r="DT5" i="25"/>
  <c r="DT6" i="25"/>
  <c r="DT7" i="25"/>
  <c r="DT8" i="25"/>
  <c r="DT9" i="25"/>
  <c r="DT10" i="25"/>
  <c r="DT11" i="25"/>
  <c r="DT12" i="25"/>
  <c r="DT13" i="25"/>
  <c r="DT14" i="25"/>
  <c r="DT15" i="25"/>
  <c r="DT16" i="25"/>
  <c r="DT17" i="25"/>
  <c r="DT18" i="25"/>
  <c r="DT19" i="25"/>
  <c r="DT20" i="25"/>
  <c r="DT21" i="25"/>
  <c r="DT22" i="25"/>
  <c r="DT23" i="25"/>
  <c r="DT3" i="25"/>
  <c r="DM4" i="25"/>
  <c r="DM5" i="25"/>
  <c r="DM6" i="25"/>
  <c r="DM7" i="25"/>
  <c r="DM8" i="25"/>
  <c r="DM9" i="25"/>
  <c r="DM10" i="25"/>
  <c r="DM11" i="25"/>
  <c r="DM12" i="25"/>
  <c r="DM13" i="25"/>
  <c r="DM14" i="25"/>
  <c r="DM15" i="25"/>
  <c r="DM16" i="25"/>
  <c r="DM17" i="25"/>
  <c r="DM18" i="25"/>
  <c r="DM19" i="25"/>
  <c r="DM20" i="25"/>
  <c r="DM21" i="25"/>
  <c r="DM22" i="25"/>
  <c r="DM23" i="25"/>
  <c r="DM3" i="25"/>
  <c r="A95" i="25"/>
  <c r="A71" i="25"/>
  <c r="J4" i="25"/>
  <c r="AB4" i="25" s="1"/>
  <c r="J5" i="25"/>
  <c r="AB5" i="25" s="1"/>
  <c r="J6" i="25"/>
  <c r="J8" i="25"/>
  <c r="J9" i="25"/>
  <c r="AB9" i="25" s="1"/>
  <c r="J7" i="25"/>
  <c r="J10" i="25"/>
  <c r="AB10" i="25" s="1"/>
  <c r="J13" i="25"/>
  <c r="J12" i="25"/>
  <c r="AB12" i="25" s="1"/>
  <c r="J19" i="25"/>
  <c r="J14" i="25"/>
  <c r="J15" i="25"/>
  <c r="J11" i="25"/>
  <c r="J17" i="25"/>
  <c r="J18" i="25"/>
  <c r="J20" i="25"/>
  <c r="AB20" i="25" s="1"/>
  <c r="J21" i="25"/>
  <c r="AB21" i="25" s="1"/>
  <c r="J22" i="25"/>
  <c r="J23" i="25"/>
  <c r="J16" i="25"/>
  <c r="B4" i="25"/>
  <c r="B5" i="25"/>
  <c r="B6" i="25"/>
  <c r="B7" i="25"/>
  <c r="B8" i="25"/>
  <c r="B9" i="25"/>
  <c r="B10" i="25"/>
  <c r="B11" i="25"/>
  <c r="B12" i="25"/>
  <c r="B13" i="25"/>
  <c r="B14" i="25"/>
  <c r="B15" i="25"/>
  <c r="B16" i="25"/>
  <c r="B17" i="25"/>
  <c r="B18" i="25"/>
  <c r="B19" i="25"/>
  <c r="B20" i="25"/>
  <c r="B21" i="25"/>
  <c r="B22" i="25"/>
  <c r="B23" i="25"/>
  <c r="A47" i="25"/>
  <c r="D33" i="43"/>
  <c r="K76" i="25" l="1"/>
  <c r="K92" i="25"/>
  <c r="K83" i="25"/>
  <c r="K90" i="25"/>
  <c r="K87" i="25"/>
  <c r="K93" i="25"/>
  <c r="K79" i="25"/>
  <c r="K77" i="25"/>
  <c r="K88" i="25"/>
  <c r="K81" i="25"/>
  <c r="K75" i="25"/>
  <c r="K95" i="25"/>
  <c r="K94" i="25"/>
  <c r="K89" i="25"/>
  <c r="K85" i="25"/>
  <c r="K78" i="25"/>
  <c r="K86" i="25"/>
  <c r="K82" i="25"/>
  <c r="F3" i="17"/>
  <c r="H3" i="17" s="1"/>
  <c r="K14" i="17"/>
  <c r="E13" i="17"/>
  <c r="F13" i="17" s="1"/>
  <c r="H13" i="17" s="1"/>
  <c r="E18" i="17"/>
  <c r="F18" i="17" s="1"/>
  <c r="H18" i="17" s="1"/>
  <c r="F73" i="42"/>
  <c r="AB11" i="25"/>
  <c r="AB6" i="25"/>
  <c r="AB15" i="25"/>
  <c r="AB16" i="25"/>
  <c r="AB14" i="25"/>
  <c r="AB17" i="25"/>
  <c r="AB7" i="25"/>
  <c r="C105" i="25"/>
  <c r="AB18" i="25"/>
  <c r="AB8" i="25"/>
  <c r="AB13" i="25"/>
  <c r="AB23" i="25"/>
  <c r="AB22" i="25"/>
  <c r="AB3" i="25"/>
  <c r="AB19" i="25"/>
  <c r="K84" i="25" l="1"/>
  <c r="K91" i="25"/>
  <c r="K80" i="25"/>
  <c r="L3" i="17"/>
  <c r="L9" i="17"/>
  <c r="L14" i="17"/>
  <c r="L21" i="17"/>
  <c r="L16" i="17"/>
  <c r="L23" i="17"/>
  <c r="L7" i="17"/>
  <c r="L4" i="17"/>
  <c r="L15" i="17"/>
  <c r="L12" i="17"/>
  <c r="L20" i="17"/>
  <c r="L11" i="17"/>
  <c r="L8" i="17"/>
  <c r="L17" i="17"/>
  <c r="L6" i="17"/>
  <c r="L19" i="17"/>
  <c r="L5" i="17"/>
  <c r="L22" i="17"/>
  <c r="L10" i="17"/>
  <c r="L18" i="17"/>
  <c r="L13" i="17"/>
  <c r="A54" i="42" l="1"/>
  <c r="A55" i="42"/>
  <c r="A56" i="42"/>
  <c r="A57" i="42"/>
  <c r="A58" i="42"/>
  <c r="A59" i="42"/>
  <c r="A60" i="42"/>
  <c r="A61" i="42"/>
  <c r="A62" i="42"/>
  <c r="A63" i="42"/>
  <c r="A64" i="42"/>
  <c r="A65" i="42"/>
  <c r="A66" i="42"/>
  <c r="A67" i="42"/>
  <c r="A68" i="42"/>
  <c r="A69" i="42"/>
  <c r="A70" i="42"/>
  <c r="A71" i="42"/>
  <c r="A72" i="42"/>
  <c r="A53" i="42"/>
  <c r="I23" i="17" l="1"/>
  <c r="I5" i="17"/>
  <c r="J23" i="17" l="1"/>
  <c r="K23" i="17" s="1"/>
  <c r="J5" i="17"/>
  <c r="K5" i="17" s="1"/>
  <c r="I3" i="17"/>
  <c r="J3" i="17" s="1"/>
  <c r="K3" i="17" s="1"/>
  <c r="I19" i="17" l="1"/>
  <c r="I22" i="17"/>
  <c r="I11" i="17"/>
  <c r="I6" i="17"/>
  <c r="I15" i="17"/>
  <c r="I20" i="17"/>
  <c r="I4" i="17"/>
  <c r="I16" i="17"/>
  <c r="I8" i="17"/>
  <c r="J6" i="17" l="1"/>
  <c r="K6" i="17" s="1"/>
  <c r="J4" i="17"/>
  <c r="K4" i="17" s="1"/>
  <c r="J11" i="17"/>
  <c r="K11" i="17" s="1"/>
  <c r="J20" i="17"/>
  <c r="K20" i="17" s="1"/>
  <c r="J22" i="17"/>
  <c r="K22" i="17" s="1"/>
  <c r="J8" i="17"/>
  <c r="K8" i="17" s="1"/>
  <c r="J15" i="17"/>
  <c r="K15" i="17" s="1"/>
  <c r="J19" i="17"/>
  <c r="K19" i="17" s="1"/>
  <c r="J16" i="17"/>
  <c r="K16" i="17" s="1"/>
  <c r="I18" i="17"/>
  <c r="I7" i="17"/>
  <c r="I21" i="17"/>
  <c r="I12" i="17"/>
  <c r="J21" i="17" l="1"/>
  <c r="K21" i="17" s="1"/>
  <c r="J7" i="17"/>
  <c r="K7" i="17" s="1"/>
  <c r="J18" i="17"/>
  <c r="K18" i="17" s="1"/>
  <c r="J12" i="17"/>
  <c r="K12" i="17" s="1"/>
  <c r="I9" i="17"/>
  <c r="I17" i="17"/>
  <c r="I10" i="17"/>
  <c r="I13" i="17"/>
  <c r="J13" i="17" l="1"/>
  <c r="K13" i="17" s="1"/>
  <c r="J10" i="17"/>
  <c r="K10" i="17" s="1"/>
  <c r="J17" i="17"/>
  <c r="K17" i="17" s="1"/>
  <c r="J9" i="17"/>
  <c r="K9" i="17" s="1"/>
  <c r="B6" i="37" l="1"/>
  <c r="B7" i="37"/>
  <c r="B8" i="37"/>
  <c r="B9" i="37"/>
  <c r="B10" i="37"/>
  <c r="B11" i="37"/>
  <c r="B12" i="37"/>
  <c r="B13" i="37"/>
  <c r="B14" i="37"/>
  <c r="B15" i="37"/>
  <c r="B16" i="37"/>
  <c r="B17" i="37"/>
  <c r="B18" i="37"/>
  <c r="B19" i="37"/>
  <c r="B20" i="37"/>
  <c r="B21" i="37"/>
  <c r="B22" i="37"/>
  <c r="B23" i="37"/>
  <c r="B24" i="37"/>
  <c r="B5" i="37"/>
  <c r="G95" i="25" s="1"/>
  <c r="B5" i="36"/>
  <c r="F95" i="25" s="1"/>
  <c r="B5" i="35"/>
  <c r="E92" i="25" l="1"/>
  <c r="E91" i="25"/>
  <c r="E85" i="25"/>
  <c r="E90" i="25"/>
  <c r="E76" i="25"/>
  <c r="E89" i="25"/>
  <c r="E75" i="25"/>
  <c r="E88" i="25"/>
  <c r="E95" i="25"/>
  <c r="E87" i="25"/>
  <c r="E94" i="25"/>
  <c r="E86" i="25"/>
  <c r="E93" i="25"/>
  <c r="G81" i="25"/>
  <c r="G79" i="25"/>
  <c r="F75" i="25"/>
  <c r="G89" i="25"/>
  <c r="G80" i="25"/>
  <c r="G75" i="25"/>
  <c r="G87" i="25"/>
  <c r="G78" i="25"/>
  <c r="G77" i="25"/>
  <c r="G88" i="25"/>
  <c r="G94" i="25"/>
  <c r="G86" i="25"/>
  <c r="G93" i="25"/>
  <c r="G85" i="25"/>
  <c r="G76" i="25"/>
  <c r="G92" i="25"/>
  <c r="G84" i="25"/>
  <c r="G91" i="25"/>
  <c r="G82" i="25"/>
  <c r="G90" i="25"/>
  <c r="F91" i="25"/>
  <c r="F87" i="25"/>
  <c r="F82" i="25"/>
  <c r="F78" i="25"/>
  <c r="F94" i="25"/>
  <c r="F90" i="25"/>
  <c r="F86" i="25"/>
  <c r="F81" i="25"/>
  <c r="F77" i="25"/>
  <c r="F93" i="25"/>
  <c r="F89" i="25"/>
  <c r="F85" i="25"/>
  <c r="F80" i="25"/>
  <c r="F76" i="25"/>
  <c r="F92" i="25"/>
  <c r="F88" i="25"/>
  <c r="F84" i="25"/>
  <c r="F79" i="25"/>
  <c r="E77" i="25"/>
  <c r="E78" i="25"/>
  <c r="E79" i="25"/>
  <c r="E80" i="25"/>
  <c r="E81" i="25"/>
  <c r="E82" i="25"/>
  <c r="E84" i="25"/>
  <c r="G104" i="25" l="1"/>
  <c r="G103" i="25"/>
  <c r="F104" i="25"/>
  <c r="F103" i="25"/>
  <c r="E104" i="25"/>
  <c r="E101" i="25" s="1"/>
  <c r="E97" i="25" s="1"/>
  <c r="E103" i="25"/>
  <c r="E100" i="25" s="1"/>
  <c r="E96" i="25" s="1"/>
  <c r="C104" i="25"/>
  <c r="C103" i="25"/>
  <c r="C100" i="25" s="1"/>
  <c r="C96" i="25" s="1"/>
  <c r="G30" i="43"/>
  <c r="C4" i="43" s="1"/>
  <c r="G28" i="43"/>
  <c r="C10" i="43" s="1"/>
  <c r="G37" i="43"/>
  <c r="C13" i="43" s="1"/>
  <c r="D13" i="43" l="1"/>
  <c r="E13" i="43"/>
  <c r="F13" i="43"/>
  <c r="G13" i="43"/>
  <c r="I13" i="43" s="1"/>
  <c r="L92" i="25" s="1"/>
  <c r="F4" i="43"/>
  <c r="E68" i="25"/>
  <c r="E67" i="25"/>
  <c r="E71" i="25"/>
  <c r="P40" i="25" s="1"/>
  <c r="C35" i="43"/>
  <c r="G35" i="43" s="1"/>
  <c r="C7" i="43" s="1"/>
  <c r="C34" i="43"/>
  <c r="G34" i="43" s="1"/>
  <c r="C33" i="43"/>
  <c r="G33" i="43" s="1"/>
  <c r="E5" i="43" s="1"/>
  <c r="D32" i="43"/>
  <c r="G32" i="43" s="1"/>
  <c r="D31" i="43"/>
  <c r="D29" i="43"/>
  <c r="E7" i="43" l="1"/>
  <c r="G7" i="43" s="1"/>
  <c r="G29" i="43"/>
  <c r="G31" i="43"/>
  <c r="F10" i="43"/>
  <c r="D4" i="43"/>
  <c r="E10" i="43"/>
  <c r="D7" i="43"/>
  <c r="F7" i="43"/>
  <c r="H7" i="43" s="1"/>
  <c r="E4" i="43"/>
  <c r="C8" i="43"/>
  <c r="D10" i="43"/>
  <c r="K10" i="43" s="1"/>
  <c r="L76" i="25" s="1"/>
  <c r="I7" i="43" l="1"/>
  <c r="K7" i="43" s="1"/>
  <c r="L88" i="25" s="1"/>
  <c r="D9" i="43"/>
  <c r="I9" i="43" s="1"/>
  <c r="K9" i="43" s="1"/>
  <c r="L81" i="25" s="1"/>
  <c r="C9" i="43"/>
  <c r="E6" i="43"/>
  <c r="D6" i="43"/>
  <c r="F6" i="43"/>
  <c r="F9" i="43"/>
  <c r="E9" i="43"/>
  <c r="F8" i="43"/>
  <c r="D8" i="43"/>
  <c r="H8" i="43" s="1"/>
  <c r="E8" i="43"/>
  <c r="G8" i="43" s="1"/>
  <c r="C11" i="43"/>
  <c r="F11" i="43"/>
  <c r="D11" i="43"/>
  <c r="E11" i="43"/>
  <c r="G11" i="43" s="1"/>
  <c r="I11" i="43" s="1"/>
  <c r="K11" i="43" s="1"/>
  <c r="L82" i="25" s="1"/>
  <c r="F5" i="43"/>
  <c r="C5" i="43"/>
  <c r="D5" i="43"/>
  <c r="K5" i="43" s="1"/>
  <c r="L84" i="25" s="1"/>
  <c r="K4" i="43" l="1"/>
  <c r="L78" i="25" s="1"/>
  <c r="I8" i="43"/>
  <c r="K8" i="43" s="1"/>
  <c r="L86" i="25" s="1"/>
  <c r="G6" i="43"/>
  <c r="I6" i="43" s="1"/>
  <c r="K6" i="43" s="1"/>
  <c r="L80" i="25" s="1"/>
  <c r="K3" i="43" l="1"/>
  <c r="L91" i="25" s="1"/>
  <c r="K2" i="43"/>
  <c r="L90" i="25" s="1"/>
  <c r="D35" i="24" l="1"/>
  <c r="A83" i="11"/>
  <c r="A82" i="11"/>
  <c r="A81" i="11"/>
  <c r="A80" i="11"/>
  <c r="A79" i="11"/>
  <c r="A78" i="11"/>
  <c r="A77" i="11"/>
  <c r="A76" i="11"/>
  <c r="A75" i="11"/>
  <c r="A74" i="11"/>
  <c r="A73" i="11"/>
  <c r="A72" i="11"/>
  <c r="A71" i="11"/>
  <c r="A70" i="11"/>
  <c r="A69" i="11"/>
  <c r="A68" i="11"/>
  <c r="A67" i="11"/>
  <c r="A66" i="11"/>
  <c r="A65" i="11"/>
  <c r="A64" i="11"/>
  <c r="A63" i="11"/>
  <c r="A62" i="11"/>
  <c r="A61" i="11"/>
  <c r="A30" i="42"/>
  <c r="A31" i="42"/>
  <c r="A32" i="42"/>
  <c r="A33" i="42"/>
  <c r="A34" i="42"/>
  <c r="A35" i="42"/>
  <c r="A36" i="42"/>
  <c r="A37" i="42"/>
  <c r="A38" i="42"/>
  <c r="A39" i="42"/>
  <c r="A40" i="42"/>
  <c r="A41" i="42"/>
  <c r="A42" i="42"/>
  <c r="A43" i="42"/>
  <c r="A44" i="42"/>
  <c r="A45" i="42"/>
  <c r="A46" i="42"/>
  <c r="A47" i="42"/>
  <c r="A48" i="42"/>
  <c r="A29" i="42"/>
  <c r="L24" i="42"/>
  <c r="L25" i="42"/>
  <c r="K25" i="42"/>
  <c r="J25" i="42"/>
  <c r="I25" i="42"/>
  <c r="H25" i="42"/>
  <c r="G25" i="42"/>
  <c r="F25" i="42"/>
  <c r="F106" i="25" s="1"/>
  <c r="E25" i="42"/>
  <c r="D25" i="42"/>
  <c r="C25" i="42"/>
  <c r="K24" i="42"/>
  <c r="J24" i="42"/>
  <c r="I24" i="42"/>
  <c r="H24" i="42"/>
  <c r="G24" i="42"/>
  <c r="F24" i="42"/>
  <c r="E24" i="42"/>
  <c r="D24" i="42"/>
  <c r="A56" i="11"/>
  <c r="A55" i="11"/>
  <c r="A54" i="11"/>
  <c r="A53" i="11"/>
  <c r="A52" i="11"/>
  <c r="A51" i="11"/>
  <c r="A50" i="11"/>
  <c r="A49" i="11"/>
  <c r="A48" i="11"/>
  <c r="A47" i="11"/>
  <c r="A46" i="11"/>
  <c r="A45" i="11"/>
  <c r="A44" i="11"/>
  <c r="A43" i="11"/>
  <c r="A42" i="11"/>
  <c r="A41" i="11"/>
  <c r="A40" i="11"/>
  <c r="A39" i="11"/>
  <c r="A38" i="11"/>
  <c r="A37" i="11"/>
  <c r="A36" i="11"/>
  <c r="A35" i="11"/>
  <c r="A34" i="11"/>
  <c r="G106" i="25" l="1"/>
  <c r="G101" i="25" s="1"/>
  <c r="G97" i="25" s="1"/>
  <c r="L106" i="25"/>
  <c r="F105" i="25"/>
  <c r="F100" i="25" s="1"/>
  <c r="F96" i="25" s="1"/>
  <c r="H105" i="25"/>
  <c r="D106" i="25"/>
  <c r="G105" i="25"/>
  <c r="G100" i="25" s="1"/>
  <c r="F101" i="25"/>
  <c r="F97" i="25" s="1"/>
  <c r="H106" i="25"/>
  <c r="I106" i="25"/>
  <c r="L105" i="25"/>
  <c r="I105" i="25"/>
  <c r="D105" i="25"/>
  <c r="C106" i="25"/>
  <c r="C101" i="25" s="1"/>
  <c r="C97" i="25" s="1"/>
  <c r="C51" i="25" s="1"/>
  <c r="F36" i="24"/>
  <c r="C32" i="42"/>
  <c r="C40" i="42"/>
  <c r="C48" i="42"/>
  <c r="C33" i="42"/>
  <c r="C41" i="42"/>
  <c r="C29" i="42"/>
  <c r="C30" i="42"/>
  <c r="C34" i="42"/>
  <c r="C42" i="42"/>
  <c r="C46" i="42"/>
  <c r="C31" i="42"/>
  <c r="C47" i="42"/>
  <c r="C35" i="42"/>
  <c r="C43" i="42"/>
  <c r="C36" i="42"/>
  <c r="C44" i="42"/>
  <c r="C38" i="42"/>
  <c r="C39" i="42"/>
  <c r="C37" i="42"/>
  <c r="C45" i="42"/>
  <c r="E34" i="42"/>
  <c r="E43" i="42"/>
  <c r="E32" i="42"/>
  <c r="E35" i="42"/>
  <c r="E44" i="42"/>
  <c r="E42" i="42"/>
  <c r="E36" i="42"/>
  <c r="E45" i="42"/>
  <c r="P27" i="25" s="1"/>
  <c r="E38" i="42"/>
  <c r="E46" i="42"/>
  <c r="P42" i="25" s="1"/>
  <c r="E41" i="42"/>
  <c r="E30" i="42"/>
  <c r="E39" i="42"/>
  <c r="E47" i="42"/>
  <c r="E31" i="42"/>
  <c r="E40" i="42"/>
  <c r="E48" i="42"/>
  <c r="E29" i="42"/>
  <c r="E33" i="42"/>
  <c r="D36" i="42"/>
  <c r="D44" i="42"/>
  <c r="D42" i="42"/>
  <c r="D35" i="42"/>
  <c r="D37" i="42"/>
  <c r="D45" i="42"/>
  <c r="D30" i="42"/>
  <c r="D38" i="42"/>
  <c r="D46" i="42"/>
  <c r="D31" i="42"/>
  <c r="D39" i="42"/>
  <c r="D47" i="42"/>
  <c r="D32" i="42"/>
  <c r="D40" i="42"/>
  <c r="D48" i="42"/>
  <c r="D34" i="42"/>
  <c r="D33" i="42"/>
  <c r="D41" i="42"/>
  <c r="D29" i="42"/>
  <c r="D43" i="42"/>
  <c r="L30" i="42"/>
  <c r="L32" i="42"/>
  <c r="L34" i="42"/>
  <c r="L36" i="42"/>
  <c r="L38" i="42"/>
  <c r="L40" i="42"/>
  <c r="L42" i="42"/>
  <c r="L44" i="42"/>
  <c r="L46" i="42"/>
  <c r="L48" i="42"/>
  <c r="L37" i="42"/>
  <c r="L45" i="42"/>
  <c r="L29" i="42"/>
  <c r="L31" i="42"/>
  <c r="L33" i="42"/>
  <c r="L35" i="42"/>
  <c r="L39" i="42"/>
  <c r="L41" i="42"/>
  <c r="L43" i="42"/>
  <c r="L47" i="42"/>
  <c r="G29" i="42"/>
  <c r="G32" i="42"/>
  <c r="G36" i="42"/>
  <c r="G41" i="42"/>
  <c r="G45" i="42"/>
  <c r="G44" i="42"/>
  <c r="G35" i="42"/>
  <c r="G33" i="42"/>
  <c r="G38" i="42"/>
  <c r="G42" i="42"/>
  <c r="G46" i="42"/>
  <c r="G48" i="42"/>
  <c r="G31" i="42"/>
  <c r="G40" i="42"/>
  <c r="G30" i="42"/>
  <c r="G34" i="42"/>
  <c r="G39" i="42"/>
  <c r="G43" i="42"/>
  <c r="G47" i="42"/>
  <c r="F32" i="42"/>
  <c r="F36" i="42"/>
  <c r="F41" i="42"/>
  <c r="F45" i="42"/>
  <c r="F29" i="42"/>
  <c r="F40" i="42"/>
  <c r="F33" i="42"/>
  <c r="F38" i="42"/>
  <c r="F42" i="42"/>
  <c r="F46" i="42"/>
  <c r="F31" i="42"/>
  <c r="F48" i="42"/>
  <c r="F44" i="42"/>
  <c r="F30" i="42"/>
  <c r="F34" i="42"/>
  <c r="F39" i="42"/>
  <c r="F43" i="42"/>
  <c r="F47" i="42"/>
  <c r="F35" i="42"/>
  <c r="H37" i="42"/>
  <c r="H45" i="42"/>
  <c r="H31" i="42"/>
  <c r="H30" i="42"/>
  <c r="H38" i="42"/>
  <c r="H46" i="42"/>
  <c r="H39" i="42"/>
  <c r="H35" i="42"/>
  <c r="H47" i="42"/>
  <c r="H36" i="42"/>
  <c r="H29" i="42"/>
  <c r="H32" i="42"/>
  <c r="H40" i="42"/>
  <c r="H48" i="42"/>
  <c r="H41" i="42"/>
  <c r="H44" i="42"/>
  <c r="H33" i="42"/>
  <c r="H43" i="42"/>
  <c r="H34" i="42"/>
  <c r="H42" i="42"/>
  <c r="I29" i="42"/>
  <c r="I31" i="42"/>
  <c r="I33" i="42"/>
  <c r="I35" i="42"/>
  <c r="I37" i="42"/>
  <c r="I39" i="42"/>
  <c r="I41" i="42"/>
  <c r="I43" i="42"/>
  <c r="I45" i="42"/>
  <c r="I47" i="42"/>
  <c r="I30" i="42"/>
  <c r="I32" i="42"/>
  <c r="I34" i="42"/>
  <c r="I36" i="42"/>
  <c r="I38" i="42"/>
  <c r="I40" i="42"/>
  <c r="I42" i="42"/>
  <c r="I44" i="42"/>
  <c r="I46" i="42"/>
  <c r="I48" i="42"/>
  <c r="J39" i="42"/>
  <c r="J34" i="42"/>
  <c r="J46" i="42"/>
  <c r="J37" i="42"/>
  <c r="J45" i="42"/>
  <c r="J36" i="42"/>
  <c r="J29" i="42"/>
  <c r="J31" i="42"/>
  <c r="J33" i="42"/>
  <c r="J35" i="42"/>
  <c r="J41" i="42"/>
  <c r="J43" i="42"/>
  <c r="J47" i="42"/>
  <c r="J32" i="42"/>
  <c r="J44" i="42"/>
  <c r="J38" i="42"/>
  <c r="J48" i="42"/>
  <c r="J30" i="42"/>
  <c r="J42" i="42"/>
  <c r="J40" i="42"/>
  <c r="K32" i="42"/>
  <c r="K46" i="42"/>
  <c r="K38" i="42"/>
  <c r="K36" i="42"/>
  <c r="K29" i="42"/>
  <c r="K31" i="42"/>
  <c r="K33" i="42"/>
  <c r="K35" i="42"/>
  <c r="K37" i="42"/>
  <c r="K39" i="42"/>
  <c r="K41" i="42"/>
  <c r="K43" i="42"/>
  <c r="K45" i="42"/>
  <c r="K47" i="42"/>
  <c r="K40" i="42"/>
  <c r="K30" i="42"/>
  <c r="K44" i="42"/>
  <c r="K34" i="42"/>
  <c r="K48" i="42"/>
  <c r="K42" i="42"/>
  <c r="N43" i="25" l="1"/>
  <c r="G96" i="25"/>
  <c r="G71" i="25" s="1"/>
  <c r="R40" i="25" s="1"/>
  <c r="C71" i="25"/>
  <c r="N40" i="25" s="1"/>
  <c r="F68" i="25"/>
  <c r="Q42" i="25" s="1"/>
  <c r="F71" i="25"/>
  <c r="Q40" i="25" s="1"/>
  <c r="F51" i="25"/>
  <c r="Q43" i="25" s="1"/>
  <c r="C72" i="42"/>
  <c r="E56" i="42"/>
  <c r="M47" i="42"/>
  <c r="E54" i="42"/>
  <c r="E59" i="42"/>
  <c r="E58" i="42"/>
  <c r="D57" i="42"/>
  <c r="D65" i="42"/>
  <c r="D56" i="42"/>
  <c r="C60" i="42"/>
  <c r="C54" i="42"/>
  <c r="E72" i="42"/>
  <c r="E57" i="42"/>
  <c r="E63" i="42"/>
  <c r="D61" i="42"/>
  <c r="D53" i="42"/>
  <c r="D70" i="42"/>
  <c r="D67" i="42"/>
  <c r="C67" i="42"/>
  <c r="C53" i="42"/>
  <c r="D72" i="42"/>
  <c r="D62" i="42"/>
  <c r="D58" i="42"/>
  <c r="C59" i="42"/>
  <c r="C65" i="42"/>
  <c r="E62" i="42"/>
  <c r="E55" i="42"/>
  <c r="E68" i="42"/>
  <c r="E53" i="42"/>
  <c r="D64" i="42"/>
  <c r="D69" i="42"/>
  <c r="C69" i="42"/>
  <c r="C71" i="42"/>
  <c r="C57" i="42"/>
  <c r="M46" i="42"/>
  <c r="D55" i="42"/>
  <c r="D60" i="42"/>
  <c r="C61" i="42"/>
  <c r="C55" i="42"/>
  <c r="D71" i="42"/>
  <c r="D66" i="42"/>
  <c r="C63" i="42"/>
  <c r="C70" i="42"/>
  <c r="C64" i="42"/>
  <c r="E60" i="42"/>
  <c r="E71" i="42"/>
  <c r="E69" i="42"/>
  <c r="E64" i="42"/>
  <c r="E67" i="42"/>
  <c r="E61" i="42"/>
  <c r="D63" i="42"/>
  <c r="D68" i="42"/>
  <c r="C62" i="42"/>
  <c r="C66" i="42"/>
  <c r="C56" i="42"/>
  <c r="E66" i="42"/>
  <c r="E65" i="42"/>
  <c r="E70" i="42"/>
  <c r="D54" i="42"/>
  <c r="D59" i="42"/>
  <c r="C68" i="42"/>
  <c r="C58" i="42"/>
  <c r="M38" i="42"/>
  <c r="M32" i="42"/>
  <c r="M30" i="42"/>
  <c r="M48" i="42"/>
  <c r="M34" i="42"/>
  <c r="M33" i="42"/>
  <c r="M37" i="42"/>
  <c r="M35" i="42"/>
  <c r="M31" i="42"/>
  <c r="M41" i="42"/>
  <c r="M40" i="42"/>
  <c r="M43" i="42"/>
  <c r="M29" i="42"/>
  <c r="M39" i="42"/>
  <c r="M44" i="42"/>
  <c r="M42" i="42"/>
  <c r="M36" i="42"/>
  <c r="M45" i="42"/>
  <c r="AQ19" i="25" l="1"/>
  <c r="AH19" i="25"/>
  <c r="AI19" i="25"/>
  <c r="F64" i="42"/>
  <c r="F71" i="42"/>
  <c r="F65" i="42"/>
  <c r="F56" i="42"/>
  <c r="F70" i="42"/>
  <c r="F72" i="42"/>
  <c r="F69" i="42"/>
  <c r="F59" i="42"/>
  <c r="F53" i="42"/>
  <c r="F58" i="42"/>
  <c r="F66" i="42"/>
  <c r="F63" i="42"/>
  <c r="F55" i="42"/>
  <c r="F67" i="42"/>
  <c r="F54" i="42"/>
  <c r="F68" i="42"/>
  <c r="F62" i="42"/>
  <c r="F61" i="42"/>
  <c r="F57" i="42"/>
  <c r="F60" i="42"/>
  <c r="AR19" i="25" l="1"/>
  <c r="L103" i="25" l="1"/>
  <c r="L96" i="25" s="1"/>
  <c r="L104" i="25"/>
  <c r="L101" i="25" s="1"/>
  <c r="L97" i="25" s="1"/>
  <c r="E1" i="25"/>
  <c r="D1" i="25"/>
  <c r="B49" i="14"/>
  <c r="F37" i="24"/>
  <c r="G37" i="24"/>
  <c r="H37" i="24"/>
  <c r="I37" i="24"/>
  <c r="G39" i="24"/>
  <c r="F41" i="24"/>
  <c r="G41" i="24"/>
  <c r="H41" i="24"/>
  <c r="I41" i="24"/>
  <c r="G43" i="24"/>
  <c r="F45" i="24"/>
  <c r="G45" i="24"/>
  <c r="H45" i="24"/>
  <c r="I45" i="24"/>
  <c r="G47" i="24"/>
  <c r="F49" i="24"/>
  <c r="G49" i="24"/>
  <c r="H49" i="24"/>
  <c r="I49" i="24"/>
  <c r="G51" i="24"/>
  <c r="F53" i="24"/>
  <c r="G53" i="24"/>
  <c r="H53" i="24"/>
  <c r="I53" i="24"/>
  <c r="G55" i="24"/>
  <c r="F57" i="24"/>
  <c r="G57" i="24"/>
  <c r="H57" i="24"/>
  <c r="I57" i="24"/>
  <c r="F59" i="24"/>
  <c r="A75" i="25"/>
  <c r="A76" i="25"/>
  <c r="A77" i="25"/>
  <c r="A78" i="25"/>
  <c r="A79" i="25"/>
  <c r="A80" i="25"/>
  <c r="A81" i="25"/>
  <c r="A82" i="25"/>
  <c r="A83" i="25"/>
  <c r="A85" i="25"/>
  <c r="A86" i="25"/>
  <c r="A87" i="25"/>
  <c r="A88" i="25"/>
  <c r="A89" i="25"/>
  <c r="A90" i="25"/>
  <c r="A91" i="25"/>
  <c r="A92" i="25"/>
  <c r="A93" i="25"/>
  <c r="A94" i="25"/>
  <c r="A52" i="25"/>
  <c r="A53" i="25"/>
  <c r="A54" i="25"/>
  <c r="A55" i="25"/>
  <c r="A56" i="25"/>
  <c r="A57" i="25"/>
  <c r="A58" i="25"/>
  <c r="A59" i="25"/>
  <c r="A60" i="25"/>
  <c r="A61" i="25"/>
  <c r="A62" i="25"/>
  <c r="A63" i="25"/>
  <c r="A64" i="25"/>
  <c r="A65" i="25"/>
  <c r="A66" i="25"/>
  <c r="A67" i="25"/>
  <c r="A68" i="25"/>
  <c r="A69" i="25"/>
  <c r="A70" i="25"/>
  <c r="A51" i="25"/>
  <c r="A28" i="25"/>
  <c r="A29" i="25"/>
  <c r="A30" i="25"/>
  <c r="A31" i="25"/>
  <c r="A32" i="25"/>
  <c r="A33" i="25"/>
  <c r="A34" i="25"/>
  <c r="A35" i="25"/>
  <c r="A36" i="25"/>
  <c r="A37" i="25"/>
  <c r="A38" i="25"/>
  <c r="A39" i="25"/>
  <c r="A40" i="25"/>
  <c r="A41" i="25"/>
  <c r="A42" i="25"/>
  <c r="A43" i="25"/>
  <c r="A44" i="25"/>
  <c r="A45" i="25"/>
  <c r="A46" i="25"/>
  <c r="A27" i="25"/>
  <c r="E66" i="25"/>
  <c r="P28" i="25" s="1"/>
  <c r="L100" i="25" l="1"/>
  <c r="L51" i="25"/>
  <c r="AN4" i="25"/>
  <c r="AO4" i="25"/>
  <c r="P4" i="25"/>
  <c r="E51" i="25"/>
  <c r="P43" i="25" s="1"/>
  <c r="C64" i="25"/>
  <c r="N36" i="25" s="1"/>
  <c r="C63" i="25"/>
  <c r="N34" i="25" s="1"/>
  <c r="C61" i="25"/>
  <c r="N31" i="25" s="1"/>
  <c r="C58" i="25"/>
  <c r="N45" i="25" s="1"/>
  <c r="C56" i="25"/>
  <c r="N37" i="25" s="1"/>
  <c r="C52" i="25"/>
  <c r="N33" i="25" s="1"/>
  <c r="C55" i="25"/>
  <c r="C62" i="25"/>
  <c r="N30" i="25" s="1"/>
  <c r="C54" i="25"/>
  <c r="N32" i="25" s="1"/>
  <c r="C70" i="25"/>
  <c r="N46" i="25" s="1"/>
  <c r="C59" i="25"/>
  <c r="N47" i="25" s="1"/>
  <c r="C69" i="25"/>
  <c r="N38" i="25" s="1"/>
  <c r="C53" i="25"/>
  <c r="N41" i="25" s="1"/>
  <c r="C65" i="25"/>
  <c r="N35" i="25" s="1"/>
  <c r="C68" i="25"/>
  <c r="N42" i="25" s="1"/>
  <c r="C67" i="25"/>
  <c r="C57" i="25"/>
  <c r="N39" i="25" s="1"/>
  <c r="C60" i="25"/>
  <c r="N29" i="25" s="1"/>
  <c r="AI5" i="25" s="1"/>
  <c r="C66" i="25"/>
  <c r="N28" i="25" s="1"/>
  <c r="E69" i="25"/>
  <c r="P38" i="25" s="1"/>
  <c r="E62" i="25"/>
  <c r="P30" i="25" s="1"/>
  <c r="F70" i="25"/>
  <c r="Q46" i="25" s="1"/>
  <c r="E64" i="25"/>
  <c r="E65" i="25"/>
  <c r="P35" i="25" s="1"/>
  <c r="I55" i="24"/>
  <c r="I51" i="24"/>
  <c r="I47" i="24"/>
  <c r="I43" i="24"/>
  <c r="I39" i="24"/>
  <c r="H58" i="24"/>
  <c r="F35" i="24"/>
  <c r="H56" i="24"/>
  <c r="H52" i="24"/>
  <c r="H48" i="24"/>
  <c r="H44" i="24"/>
  <c r="H40" i="24"/>
  <c r="H36" i="24"/>
  <c r="I58" i="24"/>
  <c r="H54" i="24"/>
  <c r="H50" i="24"/>
  <c r="H46" i="24"/>
  <c r="H42" i="24"/>
  <c r="H38" i="24"/>
  <c r="G35" i="24"/>
  <c r="G56" i="24"/>
  <c r="G52" i="24"/>
  <c r="G48" i="24"/>
  <c r="G44" i="24"/>
  <c r="G40" i="24"/>
  <c r="G36" i="24"/>
  <c r="I60" i="24"/>
  <c r="G60" i="24"/>
  <c r="F60" i="24"/>
  <c r="F55" i="24"/>
  <c r="F51" i="24"/>
  <c r="F47" i="24"/>
  <c r="F43" i="24"/>
  <c r="F39" i="24"/>
  <c r="I35" i="24"/>
  <c r="G58" i="24"/>
  <c r="G54" i="24"/>
  <c r="G50" i="24"/>
  <c r="G46" i="24"/>
  <c r="G42" i="24"/>
  <c r="G38" i="24"/>
  <c r="H55" i="24"/>
  <c r="H51" i="24"/>
  <c r="H47" i="24"/>
  <c r="H43" i="24"/>
  <c r="H39" i="24"/>
  <c r="H60" i="24"/>
  <c r="F58" i="24"/>
  <c r="F54" i="24"/>
  <c r="F50" i="24"/>
  <c r="F46" i="24"/>
  <c r="F42" i="24"/>
  <c r="F38" i="24"/>
  <c r="E35" i="24"/>
  <c r="I56" i="24"/>
  <c r="I52" i="24"/>
  <c r="I48" i="24"/>
  <c r="I44" i="24"/>
  <c r="I40" i="24"/>
  <c r="I36" i="24"/>
  <c r="H35" i="24"/>
  <c r="F56" i="24"/>
  <c r="F52" i="24"/>
  <c r="F48" i="24"/>
  <c r="F44" i="24"/>
  <c r="F40" i="24"/>
  <c r="I54" i="24"/>
  <c r="I50" i="24"/>
  <c r="I46" i="24"/>
  <c r="I42" i="24"/>
  <c r="I38" i="24"/>
  <c r="D59" i="24"/>
  <c r="G60" i="25"/>
  <c r="R29" i="25" s="1"/>
  <c r="F57" i="25"/>
  <c r="Q39" i="25" s="1"/>
  <c r="F69" i="25"/>
  <c r="Q38" i="25" s="1"/>
  <c r="F60" i="25"/>
  <c r="Q29" i="25" s="1"/>
  <c r="G57" i="25"/>
  <c r="R39" i="25" s="1"/>
  <c r="G68" i="25"/>
  <c r="R42" i="25" s="1"/>
  <c r="G61" i="25"/>
  <c r="R31" i="25" s="1"/>
  <c r="H59" i="24"/>
  <c r="G59" i="24"/>
  <c r="D45" i="24"/>
  <c r="D37" i="24"/>
  <c r="D57" i="24"/>
  <c r="D49" i="24"/>
  <c r="D41" i="24"/>
  <c r="D48" i="24"/>
  <c r="D40" i="24"/>
  <c r="D55" i="24"/>
  <c r="D47" i="24"/>
  <c r="D39" i="24"/>
  <c r="E56" i="24"/>
  <c r="E52" i="24"/>
  <c r="E48" i="24"/>
  <c r="E44" i="24"/>
  <c r="E40" i="24"/>
  <c r="E36" i="24"/>
  <c r="E59" i="24"/>
  <c r="D54" i="24"/>
  <c r="D46" i="24"/>
  <c r="D38" i="24"/>
  <c r="D53" i="24"/>
  <c r="E57" i="24"/>
  <c r="E53" i="24"/>
  <c r="E49" i="24"/>
  <c r="E45" i="24"/>
  <c r="E41" i="24"/>
  <c r="E37" i="24"/>
  <c r="D52" i="24"/>
  <c r="D44" i="24"/>
  <c r="I59" i="24"/>
  <c r="D60" i="24"/>
  <c r="D51" i="24"/>
  <c r="D43" i="24"/>
  <c r="E58" i="24"/>
  <c r="E54" i="24"/>
  <c r="E50" i="24"/>
  <c r="E46" i="24"/>
  <c r="E42" i="24"/>
  <c r="E38" i="24"/>
  <c r="D58" i="24"/>
  <c r="D50" i="24"/>
  <c r="D42" i="24"/>
  <c r="E60" i="24"/>
  <c r="E55" i="24"/>
  <c r="E51" i="24"/>
  <c r="E47" i="24"/>
  <c r="E43" i="24"/>
  <c r="E39" i="24"/>
  <c r="S56" i="24"/>
  <c r="S57" i="24"/>
  <c r="S55" i="24"/>
  <c r="G58" i="25"/>
  <c r="R45" i="25" s="1"/>
  <c r="G69" i="25"/>
  <c r="R38" i="25" s="1"/>
  <c r="F66" i="25"/>
  <c r="Q28" i="25" s="1"/>
  <c r="G55" i="25"/>
  <c r="R44" i="25" s="1"/>
  <c r="F58" i="25"/>
  <c r="Q45" i="25" s="1"/>
  <c r="G67" i="25"/>
  <c r="R27" i="25" s="1"/>
  <c r="F56" i="25"/>
  <c r="Q37" i="25" s="1"/>
  <c r="G56" i="25"/>
  <c r="R37" i="25" s="1"/>
  <c r="DU7" i="25"/>
  <c r="F54" i="25"/>
  <c r="Q32" i="25" s="1"/>
  <c r="F65" i="25"/>
  <c r="Q35" i="25" s="1"/>
  <c r="G66" i="25"/>
  <c r="R28" i="25" s="1"/>
  <c r="F63" i="25"/>
  <c r="Q34" i="25" s="1"/>
  <c r="G51" i="25"/>
  <c r="R43" i="25" s="1"/>
  <c r="G54" i="25"/>
  <c r="R32" i="25" s="1"/>
  <c r="G65" i="25"/>
  <c r="R35" i="25" s="1"/>
  <c r="F53" i="25"/>
  <c r="Q41" i="25" s="1"/>
  <c r="F55" i="25"/>
  <c r="Q44" i="25" s="1"/>
  <c r="G53" i="25"/>
  <c r="R41" i="25" s="1"/>
  <c r="G63" i="25"/>
  <c r="R34" i="25" s="1"/>
  <c r="F67" i="25"/>
  <c r="Q27" i="25" s="1"/>
  <c r="F52" i="25"/>
  <c r="Q33" i="25" s="1"/>
  <c r="F62" i="25"/>
  <c r="Q30" i="25" s="1"/>
  <c r="F64" i="25"/>
  <c r="Q36" i="25" s="1"/>
  <c r="G62" i="25"/>
  <c r="R30" i="25" s="1"/>
  <c r="G64" i="25"/>
  <c r="R36" i="25" s="1"/>
  <c r="F61" i="25"/>
  <c r="Q31" i="25" s="1"/>
  <c r="G52" i="25"/>
  <c r="R33" i="25" s="1"/>
  <c r="G70" i="25"/>
  <c r="R46" i="25" s="1"/>
  <c r="E60" i="25"/>
  <c r="P29" i="25" s="1"/>
  <c r="E54" i="25"/>
  <c r="P32" i="25" s="1"/>
  <c r="E56" i="25"/>
  <c r="P37" i="25" s="1"/>
  <c r="E58" i="25"/>
  <c r="P45" i="25" s="1"/>
  <c r="E52" i="25"/>
  <c r="P33" i="25" s="1"/>
  <c r="E53" i="25"/>
  <c r="P41" i="25" s="1"/>
  <c r="E57" i="25"/>
  <c r="P39" i="25" s="1"/>
  <c r="E61" i="25"/>
  <c r="P31" i="25" s="1"/>
  <c r="E70" i="25"/>
  <c r="P46" i="25" s="1"/>
  <c r="E63" i="25"/>
  <c r="P34" i="25" s="1"/>
  <c r="E55" i="25"/>
  <c r="P44" i="25" s="1"/>
  <c r="S59" i="24"/>
  <c r="S58" i="24"/>
  <c r="W43" i="25" l="1"/>
  <c r="L62" i="25"/>
  <c r="L68" i="25"/>
  <c r="L63" i="25"/>
  <c r="M3" i="25"/>
  <c r="AG3" i="25" s="1"/>
  <c r="N27" i="25"/>
  <c r="AI3" i="25" s="1"/>
  <c r="N44" i="25"/>
  <c r="AI20" i="25" s="1"/>
  <c r="P12" i="25"/>
  <c r="P36" i="25"/>
  <c r="AO12" i="25" s="1"/>
  <c r="L71" i="25"/>
  <c r="AN13" i="25"/>
  <c r="AU18" i="25"/>
  <c r="AT6" i="25"/>
  <c r="AT19" i="25"/>
  <c r="AU19" i="25"/>
  <c r="AN11" i="25"/>
  <c r="AR13" i="25"/>
  <c r="AI13" i="25"/>
  <c r="AU13" i="25"/>
  <c r="AI18" i="25"/>
  <c r="AI7" i="25"/>
  <c r="AT11" i="25"/>
  <c r="AU11" i="25"/>
  <c r="AT12" i="25"/>
  <c r="AU12" i="25"/>
  <c r="AT3" i="25"/>
  <c r="AU3" i="25"/>
  <c r="AT4" i="25"/>
  <c r="AU4" i="25"/>
  <c r="AT10" i="25"/>
  <c r="AU10" i="25"/>
  <c r="AT5" i="25"/>
  <c r="AU5" i="25"/>
  <c r="AQ4" i="25"/>
  <c r="AR4" i="25"/>
  <c r="AQ11" i="25"/>
  <c r="AR11" i="25"/>
  <c r="AR5" i="25"/>
  <c r="AQ5" i="25"/>
  <c r="AQ12" i="25"/>
  <c r="AR12" i="25"/>
  <c r="AQ10" i="25"/>
  <c r="AR10" i="25"/>
  <c r="AQ18" i="25"/>
  <c r="AR18" i="25"/>
  <c r="AR3" i="25"/>
  <c r="AQ3" i="25"/>
  <c r="AN3" i="25"/>
  <c r="AO3" i="25"/>
  <c r="AO18" i="25"/>
  <c r="AN18" i="25"/>
  <c r="AO10" i="25"/>
  <c r="AN10" i="25"/>
  <c r="AN5" i="25"/>
  <c r="AO5" i="25"/>
  <c r="AI11" i="25"/>
  <c r="AH11" i="25"/>
  <c r="AH12" i="25"/>
  <c r="AI12" i="25"/>
  <c r="AI10" i="25"/>
  <c r="AH10" i="25"/>
  <c r="AH18" i="25"/>
  <c r="P22" i="25"/>
  <c r="M23" i="25"/>
  <c r="R22" i="25"/>
  <c r="Q22" i="25"/>
  <c r="H16" i="24"/>
  <c r="H17" i="24"/>
  <c r="H5" i="24"/>
  <c r="H4" i="24"/>
  <c r="H22" i="24"/>
  <c r="H8" i="24"/>
  <c r="H19" i="24"/>
  <c r="H21" i="24"/>
  <c r="H14" i="24"/>
  <c r="H11" i="24"/>
  <c r="H15" i="24"/>
  <c r="H12" i="24"/>
  <c r="H6" i="24"/>
  <c r="H18" i="24"/>
  <c r="H3" i="24"/>
  <c r="H13" i="24"/>
  <c r="H20" i="24"/>
  <c r="H10" i="24"/>
  <c r="H7" i="24"/>
  <c r="H9" i="24"/>
  <c r="DN3" i="25"/>
  <c r="DN15" i="25"/>
  <c r="DN14" i="25"/>
  <c r="DN10" i="25"/>
  <c r="P19" i="25"/>
  <c r="R7" i="25"/>
  <c r="R14" i="25"/>
  <c r="M10" i="25"/>
  <c r="Q8" i="25"/>
  <c r="M13" i="25"/>
  <c r="P11" i="25"/>
  <c r="Q3" i="25"/>
  <c r="P8" i="25"/>
  <c r="Q12" i="25"/>
  <c r="R16" i="25"/>
  <c r="Q18" i="25"/>
  <c r="Q4" i="25"/>
  <c r="DW13" i="25"/>
  <c r="R18" i="25"/>
  <c r="M4" i="25"/>
  <c r="M22" i="25"/>
  <c r="DN22" i="25"/>
  <c r="M9" i="25"/>
  <c r="P3" i="25"/>
  <c r="R15" i="25"/>
  <c r="M21" i="25"/>
  <c r="R13" i="25"/>
  <c r="M12" i="25"/>
  <c r="R8" i="25"/>
  <c r="R3" i="25"/>
  <c r="DN19" i="25"/>
  <c r="M18" i="25"/>
  <c r="Q9" i="25"/>
  <c r="DV4" i="25"/>
  <c r="Q20" i="25"/>
  <c r="Q14" i="25"/>
  <c r="DN7" i="25"/>
  <c r="M16" i="25"/>
  <c r="M8" i="25"/>
  <c r="P13" i="25"/>
  <c r="Q6" i="25"/>
  <c r="DU20" i="25"/>
  <c r="P16" i="25"/>
  <c r="P18" i="25"/>
  <c r="R11" i="25"/>
  <c r="Q5" i="25"/>
  <c r="DN20" i="25"/>
  <c r="M14" i="25"/>
  <c r="P10" i="25"/>
  <c r="Q11" i="25"/>
  <c r="DV21" i="25"/>
  <c r="Q21" i="25"/>
  <c r="P21" i="25"/>
  <c r="R4" i="25"/>
  <c r="DV14" i="25"/>
  <c r="Q15" i="25"/>
  <c r="P6" i="25"/>
  <c r="P5" i="25"/>
  <c r="P14" i="25"/>
  <c r="Q16" i="25"/>
  <c r="DW4" i="25"/>
  <c r="R5" i="25"/>
  <c r="DN12" i="25"/>
  <c r="DN13" i="25"/>
  <c r="M17" i="25"/>
  <c r="DN17" i="25"/>
  <c r="M11" i="25"/>
  <c r="M5" i="25"/>
  <c r="P20" i="25"/>
  <c r="R20" i="25"/>
  <c r="DU16" i="25"/>
  <c r="M7" i="25"/>
  <c r="R21" i="25"/>
  <c r="Q10" i="25"/>
  <c r="M6" i="25"/>
  <c r="P7" i="25"/>
  <c r="R10" i="25"/>
  <c r="DN18" i="25"/>
  <c r="M19" i="25"/>
  <c r="P9" i="25"/>
  <c r="R17" i="25"/>
  <c r="DU9" i="25"/>
  <c r="R12" i="25"/>
  <c r="Q19" i="25"/>
  <c r="R19" i="25"/>
  <c r="DN5" i="25"/>
  <c r="P17" i="25"/>
  <c r="R6" i="25"/>
  <c r="Q17" i="25"/>
  <c r="Q7" i="25"/>
  <c r="Q13" i="25"/>
  <c r="DW18" i="25"/>
  <c r="R9" i="25"/>
  <c r="DU14" i="25"/>
  <c r="P15" i="25"/>
  <c r="M15" i="25"/>
  <c r="M20" i="25"/>
  <c r="DN8" i="25"/>
  <c r="AA54" i="24"/>
  <c r="DN16" i="25"/>
  <c r="DV8" i="25"/>
  <c r="J56" i="24"/>
  <c r="J41" i="24"/>
  <c r="J35" i="24"/>
  <c r="J44" i="24"/>
  <c r="J12" i="11" s="1"/>
  <c r="K12" i="11" s="1"/>
  <c r="I86" i="25" s="1"/>
  <c r="J37" i="24"/>
  <c r="I36" i="11" s="1"/>
  <c r="J36" i="11" s="1"/>
  <c r="J36" i="24"/>
  <c r="J10" i="11" s="1"/>
  <c r="K10" i="11" s="1"/>
  <c r="I76" i="25" s="1"/>
  <c r="J45" i="24"/>
  <c r="DN11" i="25"/>
  <c r="DW8" i="25"/>
  <c r="DN21" i="25"/>
  <c r="DN4" i="25"/>
  <c r="DN6" i="25"/>
  <c r="DN9" i="25"/>
  <c r="J52" i="24"/>
  <c r="J46" i="24"/>
  <c r="J49" i="24"/>
  <c r="I48" i="11" s="1"/>
  <c r="J48" i="11" s="1"/>
  <c r="J59" i="24"/>
  <c r="J50" i="24"/>
  <c r="J43" i="24"/>
  <c r="K13" i="11" s="1"/>
  <c r="I84" i="25" s="1"/>
  <c r="J60" i="24"/>
  <c r="J54" i="24"/>
  <c r="J39" i="24"/>
  <c r="I38" i="11" s="1"/>
  <c r="J38" i="11" s="1"/>
  <c r="J47" i="24"/>
  <c r="J11" i="11" s="1"/>
  <c r="K11" i="11" s="1"/>
  <c r="I88" i="25" s="1"/>
  <c r="J57" i="24"/>
  <c r="J55" i="24"/>
  <c r="J40" i="24"/>
  <c r="J14" i="11" s="1"/>
  <c r="K14" i="11" s="1"/>
  <c r="I81" i="25" s="1"/>
  <c r="J42" i="24"/>
  <c r="J53" i="24"/>
  <c r="J48" i="24"/>
  <c r="J3" i="11" s="1"/>
  <c r="K3" i="11" s="1"/>
  <c r="I91" i="25" s="1"/>
  <c r="J58" i="24"/>
  <c r="K16" i="11" s="1"/>
  <c r="J51" i="24"/>
  <c r="J38" i="24"/>
  <c r="I37" i="11" s="1"/>
  <c r="J37" i="11" s="1"/>
  <c r="DW15" i="25"/>
  <c r="DV15" i="25"/>
  <c r="DV3" i="25"/>
  <c r="DW12" i="25"/>
  <c r="DV13" i="25"/>
  <c r="DV12" i="25"/>
  <c r="DU4" i="25"/>
  <c r="DW16" i="25"/>
  <c r="DW11" i="25"/>
  <c r="DV11" i="25"/>
  <c r="DV18" i="25"/>
  <c r="DW9" i="25"/>
  <c r="DW6" i="25"/>
  <c r="DW7" i="25"/>
  <c r="DW10" i="25"/>
  <c r="DV7" i="25"/>
  <c r="DV16" i="25"/>
  <c r="DV17" i="25"/>
  <c r="DV10" i="25"/>
  <c r="DW14" i="25"/>
  <c r="DV9" i="25"/>
  <c r="DV6" i="25"/>
  <c r="DW3" i="25"/>
  <c r="DW19" i="25"/>
  <c r="DW21" i="25"/>
  <c r="DV5" i="25"/>
  <c r="DW20" i="25"/>
  <c r="DV19" i="25"/>
  <c r="DW5" i="25"/>
  <c r="DV20" i="25"/>
  <c r="DW17" i="25"/>
  <c r="DU11" i="25"/>
  <c r="DU3" i="25"/>
  <c r="DU8" i="25"/>
  <c r="DU13" i="25"/>
  <c r="DU15" i="25"/>
  <c r="DU21" i="25"/>
  <c r="DU19" i="25"/>
  <c r="DU6" i="25"/>
  <c r="DU12" i="25"/>
  <c r="DU18" i="25"/>
  <c r="DU17" i="25"/>
  <c r="DU5" i="25"/>
  <c r="DU10" i="25"/>
  <c r="AA58" i="24"/>
  <c r="AA56" i="24"/>
  <c r="AA57" i="24"/>
  <c r="AA59" i="24"/>
  <c r="W34" i="25" l="1"/>
  <c r="W42" i="25"/>
  <c r="W40" i="25"/>
  <c r="W30" i="25"/>
  <c r="AH20" i="25"/>
  <c r="AU6" i="25"/>
  <c r="AO13" i="25"/>
  <c r="AT18" i="25"/>
  <c r="AQ13" i="25"/>
  <c r="AN12" i="25"/>
  <c r="AO11" i="25"/>
  <c r="AN19" i="25"/>
  <c r="AO19" i="25"/>
  <c r="BJ19" i="25"/>
  <c r="BI19" i="25"/>
  <c r="AH3" i="25"/>
  <c r="AH13" i="25"/>
  <c r="K57" i="24"/>
  <c r="K56" i="24"/>
  <c r="AH7" i="25"/>
  <c r="AT13" i="25"/>
  <c r="AU22" i="25"/>
  <c r="AT22" i="25"/>
  <c r="AT15" i="25"/>
  <c r="AU15" i="25"/>
  <c r="AT21" i="25"/>
  <c r="AU21" i="25"/>
  <c r="AU17" i="25"/>
  <c r="AT17" i="25"/>
  <c r="AT8" i="25"/>
  <c r="AU8" i="25"/>
  <c r="AT20" i="25"/>
  <c r="AU20" i="25"/>
  <c r="AT14" i="25"/>
  <c r="AU14" i="25"/>
  <c r="AU9" i="25"/>
  <c r="AT9" i="25"/>
  <c r="AT7" i="25"/>
  <c r="AU7" i="25"/>
  <c r="AR15" i="25"/>
  <c r="AQ15" i="25"/>
  <c r="AR6" i="25"/>
  <c r="AQ6" i="25"/>
  <c r="AR7" i="25"/>
  <c r="AQ7" i="25"/>
  <c r="AQ21" i="25"/>
  <c r="AR21" i="25"/>
  <c r="AQ14" i="25"/>
  <c r="AR14" i="25"/>
  <c r="AQ9" i="25"/>
  <c r="AR9" i="25"/>
  <c r="AQ20" i="25"/>
  <c r="AR20" i="25"/>
  <c r="AR22" i="25"/>
  <c r="AQ22" i="25"/>
  <c r="AQ8" i="25"/>
  <c r="AR8" i="25"/>
  <c r="AQ17" i="25"/>
  <c r="AR17" i="25"/>
  <c r="AO9" i="25"/>
  <c r="AN9" i="25"/>
  <c r="AN22" i="25"/>
  <c r="AO22" i="25"/>
  <c r="AN15" i="25"/>
  <c r="AO15" i="25"/>
  <c r="AN21" i="25"/>
  <c r="AO21" i="25"/>
  <c r="AO6" i="25"/>
  <c r="AN6" i="25"/>
  <c r="AN17" i="25"/>
  <c r="AO17" i="25"/>
  <c r="AO14" i="25"/>
  <c r="AN14" i="25"/>
  <c r="AN20" i="25"/>
  <c r="AO20" i="25"/>
  <c r="AN8" i="25"/>
  <c r="AO8" i="25"/>
  <c r="AN7" i="25"/>
  <c r="AO7" i="25"/>
  <c r="AH5" i="25"/>
  <c r="AH4" i="25"/>
  <c r="AI4" i="25"/>
  <c r="AH23" i="25"/>
  <c r="AI23" i="25"/>
  <c r="AH21" i="25"/>
  <c r="AI21" i="25"/>
  <c r="AH6" i="25"/>
  <c r="AI6" i="25"/>
  <c r="AH22" i="25"/>
  <c r="AI22" i="25"/>
  <c r="AI15" i="25"/>
  <c r="AH15" i="25"/>
  <c r="AI8" i="25"/>
  <c r="AH8" i="25"/>
  <c r="AH14" i="25"/>
  <c r="AI14" i="25"/>
  <c r="AI17" i="25"/>
  <c r="AH17" i="25"/>
  <c r="AI9" i="25"/>
  <c r="AH9" i="25"/>
  <c r="H24" i="24"/>
  <c r="K18" i="11"/>
  <c r="I75" i="25" s="1"/>
  <c r="K54" i="24"/>
  <c r="J19" i="11"/>
  <c r="K19" i="11" s="1"/>
  <c r="I69" i="11"/>
  <c r="J69" i="11" s="1"/>
  <c r="I35" i="11"/>
  <c r="J35" i="11" s="1"/>
  <c r="I62" i="11"/>
  <c r="J62" i="11" s="1"/>
  <c r="I77" i="11"/>
  <c r="J77" i="11" s="1"/>
  <c r="I67" i="11"/>
  <c r="J67" i="11" s="1"/>
  <c r="I73" i="11"/>
  <c r="J73" i="11" s="1"/>
  <c r="I40" i="11"/>
  <c r="J40" i="11" s="1"/>
  <c r="J17" i="11"/>
  <c r="K17" i="11" s="1"/>
  <c r="I80" i="25" s="1"/>
  <c r="I65" i="11"/>
  <c r="J65" i="11" s="1"/>
  <c r="I45" i="11"/>
  <c r="J45" i="11" s="1"/>
  <c r="I79" i="11"/>
  <c r="J79" i="11" s="1"/>
  <c r="I52" i="11"/>
  <c r="J52" i="11" s="1"/>
  <c r="J8" i="11"/>
  <c r="K8" i="11" s="1"/>
  <c r="I78" i="25" s="1"/>
  <c r="I44" i="11"/>
  <c r="J44" i="11" s="1"/>
  <c r="I63" i="11"/>
  <c r="J63" i="11" s="1"/>
  <c r="J2" i="11"/>
  <c r="K2" i="11" s="1"/>
  <c r="I89" i="25" s="1"/>
  <c r="J21" i="11"/>
  <c r="K21" i="11" s="1"/>
  <c r="I83" i="25" s="1"/>
  <c r="I42" i="11"/>
  <c r="J42" i="11" s="1"/>
  <c r="I39" i="11"/>
  <c r="J39" i="11" s="1"/>
  <c r="I46" i="11"/>
  <c r="J46" i="11" s="1"/>
  <c r="J15" i="11"/>
  <c r="K15" i="11" s="1"/>
  <c r="I85" i="25" s="1"/>
  <c r="I72" i="11"/>
  <c r="J72" i="11" s="1"/>
  <c r="I70" i="11"/>
  <c r="J70" i="11" s="1"/>
  <c r="I66" i="11"/>
  <c r="J66" i="11" s="1"/>
  <c r="J7" i="11"/>
  <c r="K7" i="11" s="1"/>
  <c r="I93" i="25" s="1"/>
  <c r="I75" i="11"/>
  <c r="J75" i="11" s="1"/>
  <c r="J6" i="11"/>
  <c r="K6" i="11" s="1"/>
  <c r="I90" i="25" s="1"/>
  <c r="I43" i="11"/>
  <c r="J43" i="11" s="1"/>
  <c r="I47" i="11"/>
  <c r="J47" i="11" s="1"/>
  <c r="I49" i="11"/>
  <c r="J49" i="11" s="1"/>
  <c r="I81" i="11"/>
  <c r="J81" i="11" s="1"/>
  <c r="I68" i="11"/>
  <c r="J68" i="11" s="1"/>
  <c r="I34" i="11"/>
  <c r="J34" i="11" s="1"/>
  <c r="I61" i="11"/>
  <c r="J61" i="11" s="1"/>
  <c r="I74" i="11"/>
  <c r="J74" i="11" s="1"/>
  <c r="I64" i="11"/>
  <c r="J64" i="11" s="1"/>
  <c r="I76" i="11"/>
  <c r="J76" i="11" s="1"/>
  <c r="I54" i="11"/>
  <c r="J54" i="11" s="1"/>
  <c r="I55" i="11"/>
  <c r="J55" i="11" s="1"/>
  <c r="I41" i="11"/>
  <c r="J41" i="11" s="1"/>
  <c r="I71" i="11"/>
  <c r="J71" i="11" s="1"/>
  <c r="J20" i="11"/>
  <c r="K20" i="11" s="1"/>
  <c r="I82" i="25" s="1"/>
  <c r="I83" i="11"/>
  <c r="J83" i="11" s="1"/>
  <c r="J22" i="11"/>
  <c r="K22" i="11" s="1"/>
  <c r="I56" i="11"/>
  <c r="J56" i="11" s="1"/>
  <c r="I53" i="11"/>
  <c r="J53" i="11" s="1"/>
  <c r="I80" i="11"/>
  <c r="J80" i="11" s="1"/>
  <c r="I50" i="11"/>
  <c r="J50" i="11" s="1"/>
  <c r="I78" i="11"/>
  <c r="J78" i="11" s="1"/>
  <c r="I51" i="11"/>
  <c r="J51" i="11" s="1"/>
  <c r="I82" i="11"/>
  <c r="J82" i="11" s="1"/>
  <c r="K59" i="24"/>
  <c r="K58" i="24"/>
  <c r="K55" i="24"/>
  <c r="K9" i="11" l="1"/>
  <c r="K5" i="11"/>
  <c r="I79" i="25"/>
  <c r="I94" i="25"/>
  <c r="I95" i="25" l="1"/>
  <c r="I87" i="25"/>
  <c r="I77" i="25"/>
  <c r="I92" i="25" l="1"/>
  <c r="I103" i="25" s="1"/>
  <c r="I100" i="25" s="1"/>
  <c r="I96" i="25" s="1"/>
  <c r="L58" i="25"/>
  <c r="L55" i="25"/>
  <c r="L64" i="25"/>
  <c r="L57" i="25"/>
  <c r="L54" i="25"/>
  <c r="L66" i="25"/>
  <c r="L59" i="25"/>
  <c r="L53" i="25"/>
  <c r="L70" i="25"/>
  <c r="L56" i="25"/>
  <c r="L65" i="25"/>
  <c r="L69" i="25"/>
  <c r="L52" i="25"/>
  <c r="L67" i="25"/>
  <c r="L60" i="25"/>
  <c r="L61" i="25"/>
  <c r="W33" i="25" l="1"/>
  <c r="BJ9" i="25" s="1"/>
  <c r="W27" i="25"/>
  <c r="BJ3" i="25" s="1"/>
  <c r="W37" i="25"/>
  <c r="BJ13" i="25" s="1"/>
  <c r="W47" i="25"/>
  <c r="W32" i="25"/>
  <c r="W39" i="25"/>
  <c r="W35" i="25"/>
  <c r="BI11" i="25" s="1"/>
  <c r="W45" i="25"/>
  <c r="BJ21" i="25" s="1"/>
  <c r="W29" i="25"/>
  <c r="BI5" i="25" s="1"/>
  <c r="W28" i="25"/>
  <c r="BI4" i="25" s="1"/>
  <c r="W38" i="25"/>
  <c r="W36" i="25"/>
  <c r="BI12" i="25" s="1"/>
  <c r="W44" i="25"/>
  <c r="W46" i="25"/>
  <c r="W31" i="25"/>
  <c r="W41" i="25"/>
  <c r="BJ17" i="25" s="1"/>
  <c r="BI18" i="25"/>
  <c r="BI10" i="25"/>
  <c r="BJ10" i="25"/>
  <c r="X23" i="25"/>
  <c r="I104" i="25"/>
  <c r="I101" i="25" s="1"/>
  <c r="I97" i="25" s="1"/>
  <c r="I71" i="25" s="1"/>
  <c r="T40" i="25" s="1"/>
  <c r="EG21" i="25"/>
  <c r="X6" i="25"/>
  <c r="X14" i="25"/>
  <c r="X9" i="25"/>
  <c r="X12" i="25"/>
  <c r="X18" i="25"/>
  <c r="X17" i="25"/>
  <c r="X3" i="25"/>
  <c r="X8" i="25"/>
  <c r="X4" i="25"/>
  <c r="X15" i="25"/>
  <c r="X16" i="25"/>
  <c r="X21" i="25"/>
  <c r="X10" i="25"/>
  <c r="X7" i="25"/>
  <c r="X13" i="25"/>
  <c r="EG16" i="25"/>
  <c r="X19" i="25"/>
  <c r="EG8" i="25"/>
  <c r="X5" i="25"/>
  <c r="EG22" i="25"/>
  <c r="X22" i="25"/>
  <c r="EG17" i="25"/>
  <c r="X20" i="25"/>
  <c r="EG5" i="25"/>
  <c r="X11" i="25"/>
  <c r="EG19" i="25"/>
  <c r="EG14" i="25"/>
  <c r="EG7" i="25"/>
  <c r="EG9" i="25"/>
  <c r="EG13" i="25"/>
  <c r="EG15" i="25"/>
  <c r="EG12" i="25"/>
  <c r="EG6" i="25"/>
  <c r="EG11" i="25"/>
  <c r="EG10" i="25"/>
  <c r="EG20" i="25"/>
  <c r="EG3" i="25"/>
  <c r="EG4" i="25"/>
  <c r="EG18" i="25"/>
  <c r="BJ5" i="25" l="1"/>
  <c r="BI3" i="25"/>
  <c r="BJ4" i="25"/>
  <c r="BJ12" i="25"/>
  <c r="BJ11" i="25"/>
  <c r="BI13" i="25"/>
  <c r="BI9" i="25"/>
  <c r="BI21" i="25"/>
  <c r="BJ18" i="25"/>
  <c r="BI17" i="25"/>
  <c r="BJ22" i="25"/>
  <c r="BI22" i="25"/>
  <c r="BJ15" i="25"/>
  <c r="BI15" i="25"/>
  <c r="BI8" i="25"/>
  <c r="BJ8" i="25"/>
  <c r="BJ20" i="25"/>
  <c r="BI20" i="25"/>
  <c r="BI14" i="25"/>
  <c r="BJ14" i="25"/>
  <c r="BI6" i="25"/>
  <c r="BJ6" i="25"/>
  <c r="BI23" i="25"/>
  <c r="BJ23" i="25"/>
  <c r="BJ7" i="25"/>
  <c r="BI7" i="25"/>
  <c r="I54" i="25"/>
  <c r="T32" i="25" s="1"/>
  <c r="I60" i="25"/>
  <c r="T29" i="25" s="1"/>
  <c r="I61" i="25"/>
  <c r="T31" i="25" s="1"/>
  <c r="I57" i="25"/>
  <c r="T39" i="25" s="1"/>
  <c r="I62" i="25"/>
  <c r="T30" i="25" s="1"/>
  <c r="I64" i="25"/>
  <c r="T36" i="25" s="1"/>
  <c r="I70" i="25"/>
  <c r="T46" i="25" s="1"/>
  <c r="I59" i="25"/>
  <c r="T47" i="25" s="1"/>
  <c r="I67" i="25"/>
  <c r="T27" i="25" s="1"/>
  <c r="I58" i="25"/>
  <c r="T45" i="25" s="1"/>
  <c r="I69" i="25"/>
  <c r="T38" i="25" s="1"/>
  <c r="I66" i="25"/>
  <c r="T28" i="25" s="1"/>
  <c r="I63" i="25"/>
  <c r="T34" i="25" s="1"/>
  <c r="I56" i="25"/>
  <c r="T37" i="25" s="1"/>
  <c r="I68" i="25"/>
  <c r="T42" i="25" s="1"/>
  <c r="I53" i="25"/>
  <c r="T41" i="25" s="1"/>
  <c r="I55" i="25"/>
  <c r="T44" i="25" s="1"/>
  <c r="I51" i="25"/>
  <c r="T43" i="25" s="1"/>
  <c r="I52" i="25"/>
  <c r="T33" i="25" s="1"/>
  <c r="I65" i="25"/>
  <c r="T35" i="25" s="1"/>
  <c r="BA4" i="25" l="1"/>
  <c r="BA18" i="25"/>
  <c r="BA3" i="25"/>
  <c r="AZ5" i="25"/>
  <c r="BA11" i="25"/>
  <c r="AZ12" i="25"/>
  <c r="AZ10" i="25"/>
  <c r="BA14" i="25"/>
  <c r="BA8" i="25"/>
  <c r="BA13" i="25"/>
  <c r="AZ4" i="25"/>
  <c r="T23" i="25"/>
  <c r="DY22" i="25"/>
  <c r="T22" i="25"/>
  <c r="T12" i="25"/>
  <c r="DY13" i="25"/>
  <c r="T18" i="25"/>
  <c r="T11" i="25"/>
  <c r="T6" i="25"/>
  <c r="T4" i="25"/>
  <c r="AY4" i="25" s="1"/>
  <c r="T15" i="25"/>
  <c r="T17" i="25"/>
  <c r="DY21" i="25"/>
  <c r="T21" i="25"/>
  <c r="DY11" i="25"/>
  <c r="T10" i="25"/>
  <c r="T16" i="25"/>
  <c r="DY8" i="25"/>
  <c r="T14" i="25"/>
  <c r="T8" i="25"/>
  <c r="T9" i="25"/>
  <c r="T13" i="25"/>
  <c r="DY19" i="25"/>
  <c r="T20" i="25"/>
  <c r="AY20" i="25" s="1"/>
  <c r="T5" i="25"/>
  <c r="DY17" i="25"/>
  <c r="T19" i="25"/>
  <c r="T3" i="25"/>
  <c r="DY15" i="25"/>
  <c r="T7" i="25"/>
  <c r="DY3" i="25"/>
  <c r="DY18" i="25"/>
  <c r="DY4" i="25"/>
  <c r="DY6" i="25"/>
  <c r="DY16" i="25"/>
  <c r="DY9" i="25"/>
  <c r="DY5" i="25"/>
  <c r="DY10" i="25"/>
  <c r="DY14" i="25"/>
  <c r="DY7" i="25"/>
  <c r="DY20" i="25"/>
  <c r="DY12" i="25"/>
  <c r="BA5" i="25" l="1"/>
  <c r="AY23" i="25"/>
  <c r="AY5" i="25"/>
  <c r="AY16" i="25"/>
  <c r="AY6" i="25"/>
  <c r="AY10" i="25"/>
  <c r="AY11" i="25"/>
  <c r="AY18" i="25"/>
  <c r="AY7" i="25"/>
  <c r="AY13" i="25"/>
  <c r="AY21" i="25"/>
  <c r="AY9" i="25"/>
  <c r="AY12" i="25"/>
  <c r="AY3" i="25"/>
  <c r="AP23" i="25"/>
  <c r="AM23" i="25"/>
  <c r="AS23" i="25"/>
  <c r="AM4" i="25"/>
  <c r="AM12" i="25"/>
  <c r="AP7" i="25"/>
  <c r="AP17" i="25"/>
  <c r="AG13" i="25"/>
  <c r="AG18" i="25"/>
  <c r="AG9" i="25"/>
  <c r="AS3" i="25"/>
  <c r="AS11" i="25"/>
  <c r="AP16" i="25"/>
  <c r="AS12" i="25"/>
  <c r="AP3" i="25"/>
  <c r="AG17" i="25"/>
  <c r="AP10" i="25"/>
  <c r="AS17" i="25"/>
  <c r="AG23" i="25"/>
  <c r="AM3" i="25"/>
  <c r="AS16" i="25"/>
  <c r="AP12" i="25"/>
  <c r="AS8" i="25"/>
  <c r="AP21" i="25"/>
  <c r="AG6" i="25"/>
  <c r="AP22" i="25"/>
  <c r="AM17" i="25"/>
  <c r="AM5" i="25"/>
  <c r="AS21" i="25"/>
  <c r="AG15" i="25"/>
  <c r="AP18" i="25"/>
  <c r="AG10" i="25"/>
  <c r="AS14" i="25"/>
  <c r="AG22" i="25"/>
  <c r="AM18" i="25"/>
  <c r="AG11" i="25"/>
  <c r="AS15" i="25"/>
  <c r="AM14" i="25"/>
  <c r="AP11" i="25"/>
  <c r="AM6" i="25"/>
  <c r="AS6" i="25"/>
  <c r="AP8" i="25"/>
  <c r="AS20" i="25"/>
  <c r="AS9" i="25"/>
  <c r="AM8" i="25"/>
  <c r="AP14" i="25"/>
  <c r="AP15" i="25"/>
  <c r="AG21" i="25"/>
  <c r="AM10" i="25"/>
  <c r="AM9" i="25"/>
  <c r="AM22" i="25"/>
  <c r="AS5" i="25"/>
  <c r="AS19" i="25"/>
  <c r="AS7" i="25"/>
  <c r="AG12" i="25"/>
  <c r="AM16" i="25"/>
  <c r="AM11" i="25"/>
  <c r="AP6" i="25"/>
  <c r="AG7" i="25"/>
  <c r="AM15" i="25"/>
  <c r="AS4" i="25"/>
  <c r="AS10" i="25"/>
  <c r="AP19" i="25"/>
  <c r="AG4" i="25"/>
  <c r="AP20" i="25"/>
  <c r="AS22" i="25"/>
  <c r="AP9" i="25"/>
  <c r="AG14" i="25"/>
  <c r="AG19" i="25"/>
  <c r="AP5" i="25"/>
  <c r="AM20" i="25"/>
  <c r="AM7" i="25"/>
  <c r="AM19" i="25"/>
  <c r="AS13" i="25"/>
  <c r="AG20" i="25"/>
  <c r="AP4" i="25"/>
  <c r="AM13" i="25"/>
  <c r="AG8" i="25"/>
  <c r="AG16" i="25"/>
  <c r="AM21" i="25"/>
  <c r="AG5" i="25"/>
  <c r="AP13" i="25"/>
  <c r="AS18" i="25"/>
  <c r="BH9" i="25"/>
  <c r="BH21" i="25"/>
  <c r="BH13" i="25"/>
  <c r="BH10" i="25"/>
  <c r="BH5" i="25"/>
  <c r="BH19" i="25"/>
  <c r="BH6" i="25"/>
  <c r="BH7" i="25"/>
  <c r="BH17" i="25"/>
  <c r="BH12" i="25"/>
  <c r="BH11" i="25"/>
  <c r="BH18" i="25"/>
  <c r="BH8" i="25"/>
  <c r="BH15" i="25"/>
  <c r="BH3" i="25"/>
  <c r="BH14" i="25"/>
  <c r="BH4" i="25"/>
  <c r="BH23" i="25"/>
  <c r="BH20" i="25"/>
  <c r="BH22" i="25"/>
  <c r="BH16" i="25"/>
  <c r="AY8" i="25"/>
  <c r="AY17" i="25"/>
  <c r="AY22" i="25"/>
  <c r="AY19" i="25"/>
  <c r="AY14" i="25"/>
  <c r="BA12" i="25"/>
  <c r="BA10" i="25"/>
  <c r="AZ14" i="25"/>
  <c r="AY15" i="25"/>
  <c r="AZ11" i="25"/>
  <c r="AZ18" i="25"/>
  <c r="AZ3" i="25"/>
  <c r="AZ19" i="25"/>
  <c r="BA19" i="25"/>
  <c r="AZ8" i="25"/>
  <c r="AZ13" i="25"/>
  <c r="BA6" i="25"/>
  <c r="AZ6" i="25"/>
  <c r="BA23" i="25"/>
  <c r="AZ23" i="25"/>
  <c r="BA15" i="25"/>
  <c r="AZ15" i="25"/>
  <c r="BA21" i="25"/>
  <c r="AZ21" i="25"/>
  <c r="BA22" i="25"/>
  <c r="AZ22" i="25"/>
  <c r="BA7" i="25"/>
  <c r="AZ7" i="25"/>
  <c r="BA20" i="25"/>
  <c r="AZ20" i="25"/>
  <c r="BA17" i="25"/>
  <c r="AZ17" i="25"/>
  <c r="BA9" i="25"/>
  <c r="AZ9" i="25"/>
  <c r="H103" i="25" l="1"/>
  <c r="H100" i="25" s="1"/>
  <c r="H96" i="25" s="1"/>
  <c r="H104" i="25"/>
  <c r="H101" i="25" s="1"/>
  <c r="H97" i="25" s="1"/>
  <c r="D104" i="25"/>
  <c r="D101" i="25" s="1"/>
  <c r="D97" i="25" s="1"/>
  <c r="H62" i="25" l="1"/>
  <c r="D96" i="25"/>
  <c r="D70" i="25" s="1"/>
  <c r="D100" i="25"/>
  <c r="H71" i="25"/>
  <c r="H51" i="25"/>
  <c r="S43" i="25" s="1"/>
  <c r="H52" i="25"/>
  <c r="S33" i="25" s="1"/>
  <c r="H55" i="25"/>
  <c r="S44" i="25" s="1"/>
  <c r="H54" i="25"/>
  <c r="S32" i="25" s="1"/>
  <c r="H70" i="25"/>
  <c r="S46" i="25" s="1"/>
  <c r="H65" i="25"/>
  <c r="H53" i="25"/>
  <c r="H66" i="25"/>
  <c r="S28" i="25" s="1"/>
  <c r="H61" i="25"/>
  <c r="S31" i="25" s="1"/>
  <c r="H57" i="25"/>
  <c r="S39" i="25" s="1"/>
  <c r="H63" i="25"/>
  <c r="S34" i="25" s="1"/>
  <c r="H56" i="25"/>
  <c r="S37" i="25" s="1"/>
  <c r="H60" i="25"/>
  <c r="S29" i="25" s="1"/>
  <c r="H64" i="25"/>
  <c r="S36" i="25" s="1"/>
  <c r="H69" i="25"/>
  <c r="H58" i="25"/>
  <c r="S45" i="25" s="1"/>
  <c r="H67" i="25"/>
  <c r="S27" i="25" s="1"/>
  <c r="H59" i="25"/>
  <c r="S47" i="25" s="1"/>
  <c r="H68" i="25"/>
  <c r="S42" i="25" s="1"/>
  <c r="D47" i="25" l="1"/>
  <c r="S40" i="25"/>
  <c r="D45" i="25"/>
  <c r="S38" i="25"/>
  <c r="D29" i="25"/>
  <c r="S41" i="25"/>
  <c r="D41" i="25"/>
  <c r="S35" i="25"/>
  <c r="AX11" i="25" s="1"/>
  <c r="N22" i="25"/>
  <c r="AJ22" i="25" s="1"/>
  <c r="O46" i="25"/>
  <c r="AL22" i="25" s="1"/>
  <c r="D38" i="25"/>
  <c r="S30" i="25"/>
  <c r="D35" i="25"/>
  <c r="D37" i="25"/>
  <c r="D28" i="25"/>
  <c r="DZ5" i="25" s="1"/>
  <c r="AW3" i="25"/>
  <c r="D43" i="25"/>
  <c r="D27" i="25"/>
  <c r="D34" i="25"/>
  <c r="AX4" i="25"/>
  <c r="D42" i="25"/>
  <c r="AW18" i="25"/>
  <c r="D33" i="25"/>
  <c r="AW5" i="25"/>
  <c r="D36" i="25"/>
  <c r="D46" i="25"/>
  <c r="AX12" i="25"/>
  <c r="D40" i="25"/>
  <c r="D32" i="25"/>
  <c r="D30" i="25"/>
  <c r="D44" i="25"/>
  <c r="D39" i="25"/>
  <c r="D31" i="25"/>
  <c r="D58" i="25"/>
  <c r="N21" i="25" s="1"/>
  <c r="AJ21" i="25" s="1"/>
  <c r="D71" i="25"/>
  <c r="D63" i="25"/>
  <c r="D65" i="25"/>
  <c r="N11" i="25" s="1"/>
  <c r="AJ11" i="25" s="1"/>
  <c r="D51" i="25"/>
  <c r="DO9" i="25" s="1"/>
  <c r="D52" i="25"/>
  <c r="D53" i="25"/>
  <c r="D61" i="25"/>
  <c r="N7" i="25" s="1"/>
  <c r="AJ7" i="25" s="1"/>
  <c r="D68" i="25"/>
  <c r="D60" i="25"/>
  <c r="D57" i="25"/>
  <c r="D67" i="25"/>
  <c r="D59" i="25"/>
  <c r="DO22" i="25" s="1"/>
  <c r="D56" i="25"/>
  <c r="D54" i="25"/>
  <c r="D62" i="25"/>
  <c r="N6" i="25" s="1"/>
  <c r="AJ6" i="25" s="1"/>
  <c r="D66" i="25"/>
  <c r="D55" i="25"/>
  <c r="D69" i="25"/>
  <c r="D64" i="25"/>
  <c r="N12" i="25" s="1"/>
  <c r="AJ12" i="25" s="1"/>
  <c r="C46" i="25"/>
  <c r="DP21" i="25" s="1"/>
  <c r="AX13" i="25"/>
  <c r="AW4" i="25"/>
  <c r="AX5" i="25"/>
  <c r="AX18" i="25"/>
  <c r="AW12" i="25"/>
  <c r="AW10" i="25"/>
  <c r="AX10" i="25"/>
  <c r="AX3" i="25"/>
  <c r="AW9" i="25"/>
  <c r="AX9" i="25"/>
  <c r="DO21" i="25"/>
  <c r="S23" i="25"/>
  <c r="AV23" i="25" s="1"/>
  <c r="S20" i="25"/>
  <c r="AV20" i="25" s="1"/>
  <c r="S4" i="25"/>
  <c r="AV4" i="25" s="1"/>
  <c r="S17" i="25"/>
  <c r="AV17" i="25" s="1"/>
  <c r="S21" i="25"/>
  <c r="AV21" i="25" s="1"/>
  <c r="S11" i="25"/>
  <c r="AV11" i="25" s="1"/>
  <c r="S19" i="25"/>
  <c r="AV19" i="25" s="1"/>
  <c r="S13" i="25"/>
  <c r="AV13" i="25" s="1"/>
  <c r="S16" i="25"/>
  <c r="AV16" i="25" s="1"/>
  <c r="S7" i="25"/>
  <c r="AV7" i="25" s="1"/>
  <c r="S18" i="25"/>
  <c r="AV18" i="25" s="1"/>
  <c r="S10" i="25"/>
  <c r="AV10" i="25" s="1"/>
  <c r="S22" i="25"/>
  <c r="AV22" i="25" s="1"/>
  <c r="S14" i="25"/>
  <c r="AV14" i="25" s="1"/>
  <c r="S6" i="25"/>
  <c r="AV6" i="25" s="1"/>
  <c r="S15" i="25"/>
  <c r="S8" i="25"/>
  <c r="AV8" i="25" s="1"/>
  <c r="S12" i="25"/>
  <c r="AV12" i="25" s="1"/>
  <c r="S5" i="25"/>
  <c r="AV5" i="25" s="1"/>
  <c r="S3" i="25"/>
  <c r="AV3" i="25" s="1"/>
  <c r="S9" i="25"/>
  <c r="AV9" i="25" s="1"/>
  <c r="DX5" i="25"/>
  <c r="DX16" i="25"/>
  <c r="DX20" i="25"/>
  <c r="DX4" i="25"/>
  <c r="DX21" i="25"/>
  <c r="DX10" i="25"/>
  <c r="DX15" i="25"/>
  <c r="DX13" i="25"/>
  <c r="DX22" i="25"/>
  <c r="DX11" i="25"/>
  <c r="DX17" i="25"/>
  <c r="DX8" i="25"/>
  <c r="DX9" i="25"/>
  <c r="DX3" i="25"/>
  <c r="DX12" i="25"/>
  <c r="DX18" i="25"/>
  <c r="DX19" i="25"/>
  <c r="DX7" i="25"/>
  <c r="DX14" i="25"/>
  <c r="DX6" i="25"/>
  <c r="N23" i="25" l="1"/>
  <c r="AJ23" i="25" s="1"/>
  <c r="DO8" i="25"/>
  <c r="DO18" i="25"/>
  <c r="O47" i="25"/>
  <c r="AK23" i="25" s="1"/>
  <c r="O36" i="25"/>
  <c r="AL12" i="25" s="1"/>
  <c r="DO20" i="25"/>
  <c r="O28" i="25"/>
  <c r="AK4" i="25" s="1"/>
  <c r="DO17" i="25"/>
  <c r="O45" i="25"/>
  <c r="AL21" i="25" s="1"/>
  <c r="N8" i="25"/>
  <c r="AJ8" i="25" s="1"/>
  <c r="DO13" i="25"/>
  <c r="D23" i="25"/>
  <c r="DO16" i="25"/>
  <c r="N18" i="25"/>
  <c r="AJ18" i="25" s="1"/>
  <c r="N4" i="25"/>
  <c r="AJ4" i="25" s="1"/>
  <c r="DO3" i="25"/>
  <c r="C42" i="25"/>
  <c r="O4" i="25" s="1"/>
  <c r="C34" i="25"/>
  <c r="DP16" i="25" s="1"/>
  <c r="C45" i="25"/>
  <c r="C14" i="25" s="1"/>
  <c r="O38" i="25"/>
  <c r="AL14" i="25" s="1"/>
  <c r="C32" i="25"/>
  <c r="DP18" i="25" s="1"/>
  <c r="O37" i="25"/>
  <c r="AL13" i="25" s="1"/>
  <c r="N9" i="25"/>
  <c r="AJ9" i="25" s="1"/>
  <c r="O33" i="25"/>
  <c r="AL9" i="25" s="1"/>
  <c r="C27" i="25"/>
  <c r="DP9" i="25" s="1"/>
  <c r="O43" i="25"/>
  <c r="AK19" i="25" s="1"/>
  <c r="C39" i="25"/>
  <c r="DP6" i="25" s="1"/>
  <c r="O34" i="25"/>
  <c r="AL10" i="25" s="1"/>
  <c r="C43" i="25"/>
  <c r="C3" i="25" s="1"/>
  <c r="O27" i="25"/>
  <c r="AK3" i="25" s="1"/>
  <c r="C41" i="25"/>
  <c r="DP8" i="25" s="1"/>
  <c r="O35" i="25"/>
  <c r="AK11" i="25" s="1"/>
  <c r="C33" i="25"/>
  <c r="DP19" i="25" s="1"/>
  <c r="O39" i="25"/>
  <c r="AL15" i="25" s="1"/>
  <c r="C31" i="25"/>
  <c r="DP20" i="25" s="1"/>
  <c r="O44" i="25"/>
  <c r="AL20" i="25" s="1"/>
  <c r="C36" i="25"/>
  <c r="O5" i="25" s="1"/>
  <c r="O29" i="25"/>
  <c r="AK5" i="25" s="1"/>
  <c r="C47" i="25"/>
  <c r="C16" i="25" s="1"/>
  <c r="O40" i="25"/>
  <c r="C44" i="25"/>
  <c r="C18" i="25" s="1"/>
  <c r="O42" i="25"/>
  <c r="AK18" i="25" s="1"/>
  <c r="C38" i="25"/>
  <c r="C6" i="25" s="1"/>
  <c r="O30" i="25"/>
  <c r="AL6" i="25" s="1"/>
  <c r="C37" i="25"/>
  <c r="C7" i="25" s="1"/>
  <c r="O31" i="25"/>
  <c r="AL7" i="25" s="1"/>
  <c r="C30" i="25"/>
  <c r="DP7" i="25" s="1"/>
  <c r="O32" i="25"/>
  <c r="AL8" i="25" s="1"/>
  <c r="C29" i="25"/>
  <c r="DP13" i="25" s="1"/>
  <c r="O41" i="25"/>
  <c r="AL17" i="25" s="1"/>
  <c r="N15" i="25"/>
  <c r="AJ15" i="25" s="1"/>
  <c r="N3" i="25"/>
  <c r="AJ3" i="25" s="1"/>
  <c r="N20" i="25"/>
  <c r="AJ20" i="25" s="1"/>
  <c r="DO14" i="25"/>
  <c r="N16" i="25"/>
  <c r="AJ16" i="25" s="1"/>
  <c r="N5" i="25"/>
  <c r="AJ5" i="25" s="1"/>
  <c r="DO7" i="25"/>
  <c r="N17" i="25"/>
  <c r="AJ17" i="25" s="1"/>
  <c r="DO19" i="25"/>
  <c r="DO10" i="25"/>
  <c r="N14" i="25"/>
  <c r="AJ14" i="25" s="1"/>
  <c r="N10" i="25"/>
  <c r="AJ10" i="25" s="1"/>
  <c r="DO6" i="25"/>
  <c r="AW11" i="25"/>
  <c r="C35" i="25"/>
  <c r="O23" i="25" s="1"/>
  <c r="DO11" i="25"/>
  <c r="C28" i="25"/>
  <c r="C40" i="25"/>
  <c r="C12" i="25" s="1"/>
  <c r="AW19" i="25"/>
  <c r="AX19" i="25"/>
  <c r="DO12" i="25"/>
  <c r="N13" i="25"/>
  <c r="AJ13" i="25" s="1"/>
  <c r="N19" i="25"/>
  <c r="AJ19" i="25" s="1"/>
  <c r="DO4" i="25"/>
  <c r="DO5" i="25"/>
  <c r="DO15" i="25"/>
  <c r="AV15" i="25"/>
  <c r="AW13" i="25"/>
  <c r="AW21" i="25"/>
  <c r="AX21" i="25"/>
  <c r="AX7" i="25"/>
  <c r="AW7" i="25"/>
  <c r="AX23" i="25"/>
  <c r="AW23" i="25"/>
  <c r="AX14" i="25"/>
  <c r="AW14" i="25"/>
  <c r="AX15" i="25"/>
  <c r="AW15" i="25"/>
  <c r="AX20" i="25"/>
  <c r="AW20" i="25"/>
  <c r="AW8" i="25"/>
  <c r="AX8" i="25"/>
  <c r="AW6" i="25"/>
  <c r="AX6" i="25"/>
  <c r="AX22" i="25"/>
  <c r="AW22" i="25"/>
  <c r="AW17" i="25"/>
  <c r="AX17" i="25"/>
  <c r="AK22" i="25"/>
  <c r="U22" i="25"/>
  <c r="U23" i="25"/>
  <c r="O22" i="25"/>
  <c r="D17" i="25"/>
  <c r="U17" i="25"/>
  <c r="U20" i="25"/>
  <c r="D20" i="25"/>
  <c r="D22" i="25"/>
  <c r="U9" i="25"/>
  <c r="D9" i="25"/>
  <c r="D14" i="25"/>
  <c r="U14" i="25"/>
  <c r="D18" i="25"/>
  <c r="U18" i="25"/>
  <c r="U5" i="25"/>
  <c r="D5" i="25"/>
  <c r="U8" i="25"/>
  <c r="D8" i="25"/>
  <c r="U3" i="25"/>
  <c r="D3" i="25"/>
  <c r="D6" i="25"/>
  <c r="U6" i="25"/>
  <c r="U21" i="25"/>
  <c r="D21" i="25"/>
  <c r="U4" i="25"/>
  <c r="D4" i="25"/>
  <c r="U10" i="25"/>
  <c r="D10" i="25"/>
  <c r="D11" i="25"/>
  <c r="U11" i="25"/>
  <c r="U12" i="25"/>
  <c r="D12" i="25"/>
  <c r="D15" i="25"/>
  <c r="U15" i="25"/>
  <c r="U13" i="25"/>
  <c r="D13" i="25"/>
  <c r="U19" i="25"/>
  <c r="D19" i="25"/>
  <c r="D7" i="25"/>
  <c r="U7" i="25"/>
  <c r="D16" i="25"/>
  <c r="U16" i="25"/>
  <c r="DZ18" i="25"/>
  <c r="DZ17" i="25"/>
  <c r="DZ10" i="25"/>
  <c r="DZ21" i="25"/>
  <c r="DZ6" i="25"/>
  <c r="DZ7" i="25"/>
  <c r="DZ9" i="25"/>
  <c r="DZ20" i="25"/>
  <c r="DZ14" i="25"/>
  <c r="DZ11" i="25"/>
  <c r="DZ13" i="25"/>
  <c r="DZ16" i="25"/>
  <c r="DZ12" i="25"/>
  <c r="DZ19" i="25"/>
  <c r="DZ8" i="25"/>
  <c r="DZ22" i="25"/>
  <c r="DZ3" i="25"/>
  <c r="DZ15" i="25"/>
  <c r="DZ4" i="25"/>
  <c r="C10" i="25" l="1"/>
  <c r="O10" i="25"/>
  <c r="C20" i="25"/>
  <c r="AL23" i="25"/>
  <c r="DP3" i="25"/>
  <c r="O15" i="25"/>
  <c r="O17" i="25"/>
  <c r="C17" i="25"/>
  <c r="C13" i="25"/>
  <c r="AK12" i="25"/>
  <c r="C4" i="25"/>
  <c r="DP17" i="25"/>
  <c r="O18" i="25"/>
  <c r="O19" i="25"/>
  <c r="AK21" i="25"/>
  <c r="O21" i="25"/>
  <c r="O8" i="25"/>
  <c r="AL4" i="25"/>
  <c r="AL5" i="25"/>
  <c r="AK13" i="25"/>
  <c r="C21" i="25"/>
  <c r="AK20" i="25"/>
  <c r="O16" i="25"/>
  <c r="O11" i="25"/>
  <c r="C8" i="25"/>
  <c r="C15" i="25"/>
  <c r="C23" i="25"/>
  <c r="C9" i="25"/>
  <c r="AK8" i="25"/>
  <c r="C19" i="25"/>
  <c r="O20" i="25"/>
  <c r="O14" i="25"/>
  <c r="O6" i="25"/>
  <c r="DP10" i="25"/>
  <c r="DP15" i="25"/>
  <c r="O13" i="25"/>
  <c r="C11" i="25"/>
  <c r="O7" i="25"/>
  <c r="C5" i="25"/>
  <c r="DP14" i="25"/>
  <c r="DP4" i="25"/>
  <c r="DP5" i="25"/>
  <c r="O3" i="25"/>
  <c r="AK10" i="25"/>
  <c r="DP22" i="25"/>
  <c r="AK17" i="25"/>
  <c r="AL18" i="25"/>
  <c r="C22" i="25"/>
  <c r="AL19" i="25"/>
  <c r="AK14" i="25"/>
  <c r="AK9" i="25"/>
  <c r="DP11" i="25"/>
  <c r="O9" i="25"/>
  <c r="DP12" i="25"/>
  <c r="O12" i="25"/>
  <c r="AK6" i="25"/>
  <c r="AK15" i="25"/>
  <c r="AK7" i="25"/>
  <c r="AL3" i="25"/>
  <c r="AL11" i="25"/>
  <c r="K104" i="25" l="1"/>
  <c r="K101" i="25" s="1"/>
  <c r="K97" i="25" s="1"/>
  <c r="K103" i="25" l="1"/>
  <c r="K96" i="25" s="1"/>
  <c r="K60" i="25" l="1"/>
  <c r="V29" i="25" s="1"/>
  <c r="BF5" i="25" s="1"/>
  <c r="K51" i="25"/>
  <c r="V43" i="25" s="1"/>
  <c r="K63" i="25"/>
  <c r="K62" i="25"/>
  <c r="K66" i="25"/>
  <c r="K67" i="25"/>
  <c r="K56" i="25"/>
  <c r="K71" i="25"/>
  <c r="K69" i="25"/>
  <c r="V38" i="25" s="1"/>
  <c r="K59" i="25"/>
  <c r="V47" i="25" s="1"/>
  <c r="K58" i="25"/>
  <c r="K68" i="25"/>
  <c r="V42" i="25" s="1"/>
  <c r="K70" i="25"/>
  <c r="V46" i="25" s="1"/>
  <c r="K53" i="25"/>
  <c r="V41" i="25" s="1"/>
  <c r="K52" i="25"/>
  <c r="V33" i="25" s="1"/>
  <c r="K64" i="25"/>
  <c r="K55" i="25"/>
  <c r="K61" i="25"/>
  <c r="K54" i="25"/>
  <c r="K57" i="25"/>
  <c r="V39" i="25" s="1"/>
  <c r="K65" i="25"/>
  <c r="V35" i="25" s="1"/>
  <c r="EF6" i="25" l="1"/>
  <c r="W5" i="25"/>
  <c r="BE5" i="25" s="1"/>
  <c r="BG5" i="25"/>
  <c r="V36" i="25"/>
  <c r="BF12" i="25" s="1"/>
  <c r="W16" i="25"/>
  <c r="BE16" i="25" s="1"/>
  <c r="V40" i="25"/>
  <c r="W13" i="25"/>
  <c r="BE13" i="25" s="1"/>
  <c r="V37" i="25"/>
  <c r="BG13" i="25" s="1"/>
  <c r="V44" i="25"/>
  <c r="BG20" i="25" s="1"/>
  <c r="V27" i="25"/>
  <c r="BF3" i="25" s="1"/>
  <c r="V28" i="25"/>
  <c r="BF4" i="25" s="1"/>
  <c r="W6" i="25"/>
  <c r="BE6" i="25" s="1"/>
  <c r="V30" i="25"/>
  <c r="BG6" i="25" s="1"/>
  <c r="EF8" i="25"/>
  <c r="V32" i="25"/>
  <c r="BF8" i="25" s="1"/>
  <c r="V45" i="25"/>
  <c r="BF21" i="25" s="1"/>
  <c r="V34" i="25"/>
  <c r="BG10" i="25" s="1"/>
  <c r="W7" i="25"/>
  <c r="BE7" i="25" s="1"/>
  <c r="V31" i="25"/>
  <c r="BF7" i="25" s="1"/>
  <c r="EF11" i="25"/>
  <c r="W10" i="25"/>
  <c r="BE10" i="25" s="1"/>
  <c r="EF7" i="25"/>
  <c r="W3" i="25"/>
  <c r="BE3" i="25" s="1"/>
  <c r="EF3" i="25"/>
  <c r="W15" i="25"/>
  <c r="BE15" i="25" s="1"/>
  <c r="W14" i="25"/>
  <c r="BE14" i="25" s="1"/>
  <c r="EF4" i="25"/>
  <c r="EF19" i="25"/>
  <c r="W4" i="25"/>
  <c r="BE4" i="25" s="1"/>
  <c r="W19" i="25"/>
  <c r="BE19" i="25" s="1"/>
  <c r="EF21" i="25"/>
  <c r="W22" i="25"/>
  <c r="BE22" i="25" s="1"/>
  <c r="EF18" i="25"/>
  <c r="EF5" i="25"/>
  <c r="EF16" i="25"/>
  <c r="EF17" i="25"/>
  <c r="W23" i="25"/>
  <c r="BE23" i="25" s="1"/>
  <c r="BG18" i="25"/>
  <c r="W18" i="25"/>
  <c r="BE18" i="25" s="1"/>
  <c r="W21" i="25"/>
  <c r="BE21" i="25" s="1"/>
  <c r="EF15" i="25"/>
  <c r="EF22" i="25"/>
  <c r="W17" i="25"/>
  <c r="BE17" i="25" s="1"/>
  <c r="W12" i="25"/>
  <c r="BE12" i="25" s="1"/>
  <c r="EF13" i="25"/>
  <c r="EF20" i="25"/>
  <c r="EF10" i="25"/>
  <c r="EF14" i="25"/>
  <c r="W9" i="25"/>
  <c r="BE9" i="25" s="1"/>
  <c r="EF12" i="25"/>
  <c r="W20" i="25"/>
  <c r="BE20" i="25" s="1"/>
  <c r="EF9" i="25"/>
  <c r="W11" i="25"/>
  <c r="BE11" i="25" s="1"/>
  <c r="W8" i="25"/>
  <c r="BE8" i="25" s="1"/>
  <c r="BG14" i="25"/>
  <c r="BG19" i="25"/>
  <c r="BF19" i="25"/>
  <c r="BG23" i="25"/>
  <c r="BF23" i="25"/>
  <c r="BF9" i="25"/>
  <c r="BG9" i="25"/>
  <c r="BF22" i="25"/>
  <c r="BG22" i="25"/>
  <c r="BF15" i="25"/>
  <c r="BG15" i="25"/>
  <c r="BF17" i="25"/>
  <c r="BG17" i="25"/>
  <c r="BG21" i="25" l="1"/>
  <c r="BG12" i="25"/>
  <c r="BF20" i="25"/>
  <c r="BG3" i="25"/>
  <c r="BF10" i="25"/>
  <c r="BG4" i="25"/>
  <c r="BF6" i="25"/>
  <c r="BF13" i="25"/>
  <c r="BG7" i="25"/>
  <c r="BF18" i="25"/>
  <c r="BF14" i="25"/>
  <c r="BG11" i="25"/>
  <c r="BF11" i="25"/>
  <c r="BG8" i="25"/>
  <c r="J104" i="25" l="1"/>
  <c r="J103" i="25"/>
  <c r="J96" i="25" s="1"/>
  <c r="AE16" i="25" l="1"/>
  <c r="J101" i="25" l="1"/>
  <c r="J97" i="25" s="1"/>
  <c r="J53" i="25" l="1"/>
  <c r="J71" i="25"/>
  <c r="J60" i="25"/>
  <c r="J59" i="25"/>
  <c r="J67" i="25"/>
  <c r="J51" i="25"/>
  <c r="J64" i="25"/>
  <c r="J65" i="25"/>
  <c r="J63" i="25"/>
  <c r="J54" i="25"/>
  <c r="J62" i="25"/>
  <c r="J57" i="25"/>
  <c r="J66" i="25"/>
  <c r="J70" i="25"/>
  <c r="J61" i="25"/>
  <c r="J56" i="25"/>
  <c r="J55" i="25"/>
  <c r="J69" i="25"/>
  <c r="J52" i="25"/>
  <c r="J58" i="25"/>
  <c r="J68" i="25"/>
  <c r="E29" i="25"/>
  <c r="M53" i="25"/>
  <c r="M41" i="25" s="1"/>
  <c r="U41" i="25"/>
  <c r="V17" i="25"/>
  <c r="BB17" i="25" s="1"/>
  <c r="EE20" i="25"/>
  <c r="U34" i="25" l="1"/>
  <c r="EE11" i="25"/>
  <c r="V10" i="25"/>
  <c r="BB10" i="25" s="1"/>
  <c r="E39" i="25"/>
  <c r="M63" i="25"/>
  <c r="M34" i="25" s="1"/>
  <c r="BC17" i="25"/>
  <c r="BD17" i="25"/>
  <c r="U37" i="25"/>
  <c r="V13" i="25"/>
  <c r="BB13" i="25" s="1"/>
  <c r="E32" i="25"/>
  <c r="EE5" i="25"/>
  <c r="M56" i="25"/>
  <c r="M37" i="25" s="1"/>
  <c r="EE14" i="25"/>
  <c r="V11" i="25"/>
  <c r="BB11" i="25" s="1"/>
  <c r="E41" i="25"/>
  <c r="M65" i="25"/>
  <c r="M35" i="25" s="1"/>
  <c r="U35" i="25"/>
  <c r="Y17" i="25"/>
  <c r="E17" i="25"/>
  <c r="F29" i="25"/>
  <c r="EH20" i="25"/>
  <c r="V22" i="25"/>
  <c r="BB22" i="25" s="1"/>
  <c r="E46" i="25"/>
  <c r="M70" i="25"/>
  <c r="M46" i="25" s="1"/>
  <c r="U46" i="25"/>
  <c r="EE21" i="25"/>
  <c r="M51" i="25"/>
  <c r="M43" i="25" s="1"/>
  <c r="E27" i="25"/>
  <c r="V19" i="25"/>
  <c r="BB19" i="25" s="1"/>
  <c r="U43" i="25"/>
  <c r="EE19" i="25"/>
  <c r="AF17" i="25"/>
  <c r="AE17" i="25"/>
  <c r="V7" i="25"/>
  <c r="BB7" i="25" s="1"/>
  <c r="M61" i="25"/>
  <c r="M31" i="25" s="1"/>
  <c r="U31" i="25"/>
  <c r="EE12" i="25"/>
  <c r="E37" i="25"/>
  <c r="M64" i="25"/>
  <c r="M36" i="25" s="1"/>
  <c r="E40" i="25"/>
  <c r="U36" i="25"/>
  <c r="EE10" i="25"/>
  <c r="V12" i="25"/>
  <c r="BB12" i="25" s="1"/>
  <c r="V18" i="25"/>
  <c r="BB18" i="25" s="1"/>
  <c r="U42" i="25"/>
  <c r="EE16" i="25"/>
  <c r="E44" i="25"/>
  <c r="M68" i="25"/>
  <c r="M42" i="25" s="1"/>
  <c r="E42" i="25"/>
  <c r="V4" i="25"/>
  <c r="BB4" i="25" s="1"/>
  <c r="U28" i="25"/>
  <c r="M66" i="25"/>
  <c r="M28" i="25" s="1"/>
  <c r="EE4" i="25"/>
  <c r="E43" i="25"/>
  <c r="M67" i="25"/>
  <c r="M27" i="25" s="1"/>
  <c r="V3" i="25"/>
  <c r="BB3" i="25" s="1"/>
  <c r="U27" i="25"/>
  <c r="EE3" i="25"/>
  <c r="U44" i="25"/>
  <c r="EE15" i="25"/>
  <c r="V20" i="25"/>
  <c r="BB20" i="25" s="1"/>
  <c r="M55" i="25"/>
  <c r="M44" i="25" s="1"/>
  <c r="E31" i="25"/>
  <c r="U45" i="25"/>
  <c r="M58" i="25"/>
  <c r="M45" i="25" s="1"/>
  <c r="V21" i="25"/>
  <c r="BB21" i="25" s="1"/>
  <c r="E34" i="25"/>
  <c r="EE17" i="25"/>
  <c r="E33" i="25"/>
  <c r="EE9" i="25"/>
  <c r="V15" i="25"/>
  <c r="BB15" i="25" s="1"/>
  <c r="U39" i="25"/>
  <c r="M57" i="25"/>
  <c r="M39" i="25" s="1"/>
  <c r="U47" i="25"/>
  <c r="EE22" i="25"/>
  <c r="E35" i="25"/>
  <c r="V23" i="25"/>
  <c r="BB23" i="25" s="1"/>
  <c r="M59" i="25"/>
  <c r="M47" i="25" s="1"/>
  <c r="EE18" i="25"/>
  <c r="E45" i="25"/>
  <c r="M69" i="25"/>
  <c r="M38" i="25" s="1"/>
  <c r="U38" i="25"/>
  <c r="V14" i="25"/>
  <c r="BB14" i="25" s="1"/>
  <c r="V8" i="25"/>
  <c r="BB8" i="25" s="1"/>
  <c r="E30" i="25"/>
  <c r="M54" i="25"/>
  <c r="M32" i="25" s="1"/>
  <c r="EE8" i="25"/>
  <c r="U32" i="25"/>
  <c r="E47" i="25"/>
  <c r="M71" i="25"/>
  <c r="V16" i="25"/>
  <c r="BB16" i="25" s="1"/>
  <c r="U40" i="25"/>
  <c r="U33" i="25"/>
  <c r="E28" i="25"/>
  <c r="EE13" i="25"/>
  <c r="V9" i="25"/>
  <c r="BB9" i="25" s="1"/>
  <c r="M52" i="25"/>
  <c r="M33" i="25" s="1"/>
  <c r="V6" i="25"/>
  <c r="BB6" i="25" s="1"/>
  <c r="EE7" i="25"/>
  <c r="M62" i="25"/>
  <c r="M30" i="25" s="1"/>
  <c r="E38" i="25"/>
  <c r="U30" i="25"/>
  <c r="V5" i="25"/>
  <c r="BB5" i="25" s="1"/>
  <c r="U29" i="25"/>
  <c r="M60" i="25"/>
  <c r="M29" i="25" s="1"/>
  <c r="E36" i="25"/>
  <c r="EE6" i="25"/>
  <c r="AF22" i="25" l="1"/>
  <c r="AE22" i="25"/>
  <c r="AF11" i="25"/>
  <c r="AE11" i="25"/>
  <c r="BD13" i="25"/>
  <c r="BC13" i="25"/>
  <c r="BD5" i="25"/>
  <c r="BC5" i="25"/>
  <c r="AE3" i="25"/>
  <c r="AF3" i="25"/>
  <c r="EH16" i="25"/>
  <c r="E18" i="25"/>
  <c r="F44" i="25"/>
  <c r="Y18" i="25"/>
  <c r="AE12" i="25"/>
  <c r="AF12" i="25"/>
  <c r="EH21" i="25"/>
  <c r="Y22" i="25"/>
  <c r="E22" i="25"/>
  <c r="F46" i="25"/>
  <c r="E11" i="25"/>
  <c r="EH14" i="25"/>
  <c r="Y11" i="25"/>
  <c r="F41" i="25"/>
  <c r="AF8" i="25"/>
  <c r="AE8" i="25"/>
  <c r="F37" i="25"/>
  <c r="Y7" i="25"/>
  <c r="EH12" i="25"/>
  <c r="E7" i="25"/>
  <c r="BC19" i="25"/>
  <c r="BD19" i="25"/>
  <c r="BD8" i="25"/>
  <c r="BC8" i="25"/>
  <c r="EH18" i="25"/>
  <c r="E14" i="25"/>
  <c r="F45" i="25"/>
  <c r="Y14" i="25"/>
  <c r="BC6" i="25"/>
  <c r="BD6" i="25"/>
  <c r="AF20" i="25"/>
  <c r="AE20" i="25"/>
  <c r="F33" i="25"/>
  <c r="Y15" i="25"/>
  <c r="EH9" i="25"/>
  <c r="E15" i="25"/>
  <c r="BD18" i="25"/>
  <c r="BC18" i="25"/>
  <c r="AF10" i="25"/>
  <c r="AE10" i="25"/>
  <c r="AE18" i="25"/>
  <c r="AF18" i="25"/>
  <c r="AE23" i="25"/>
  <c r="AF23" i="25"/>
  <c r="Y3" i="25"/>
  <c r="F43" i="25"/>
  <c r="E3" i="25"/>
  <c r="EH3" i="25"/>
  <c r="F38" i="25"/>
  <c r="Y6" i="25"/>
  <c r="EH7" i="25"/>
  <c r="E6" i="25"/>
  <c r="BC9" i="25"/>
  <c r="BD9" i="25"/>
  <c r="F30" i="25"/>
  <c r="E8" i="25"/>
  <c r="EH8" i="25"/>
  <c r="Y8" i="25"/>
  <c r="AE6" i="25"/>
  <c r="AF6" i="25"/>
  <c r="E23" i="25"/>
  <c r="Y23" i="25"/>
  <c r="EH22" i="25"/>
  <c r="F35" i="25"/>
  <c r="AF4" i="25"/>
  <c r="AE4" i="25"/>
  <c r="BC7" i="25"/>
  <c r="BD7" i="25"/>
  <c r="F27" i="25"/>
  <c r="Y19" i="25"/>
  <c r="EH19" i="25"/>
  <c r="E19" i="25"/>
  <c r="K17" i="25"/>
  <c r="AD17" i="25" s="1"/>
  <c r="F17" i="25"/>
  <c r="AF13" i="25"/>
  <c r="AE13" i="25"/>
  <c r="Y10" i="25"/>
  <c r="EH11" i="25"/>
  <c r="E10" i="25"/>
  <c r="F39" i="25"/>
  <c r="BD15" i="25"/>
  <c r="BC15" i="25"/>
  <c r="E12" i="25"/>
  <c r="Y12" i="25"/>
  <c r="EH10" i="25"/>
  <c r="F40" i="25"/>
  <c r="E20" i="25"/>
  <c r="F31" i="25"/>
  <c r="EH15" i="25"/>
  <c r="Y20" i="25"/>
  <c r="E9" i="25"/>
  <c r="EH13" i="25"/>
  <c r="F28" i="25"/>
  <c r="Y9" i="25"/>
  <c r="Y21" i="25"/>
  <c r="E21" i="25"/>
  <c r="F34" i="25"/>
  <c r="EH17" i="25"/>
  <c r="BC20" i="25"/>
  <c r="BD20" i="25"/>
  <c r="BD4" i="25"/>
  <c r="BC4" i="25"/>
  <c r="AE7" i="25"/>
  <c r="AF7" i="25"/>
  <c r="AE19" i="25"/>
  <c r="AF19" i="25"/>
  <c r="BC21" i="25"/>
  <c r="BD21" i="25"/>
  <c r="Y5" i="25"/>
  <c r="E5" i="25"/>
  <c r="F36" i="25"/>
  <c r="EH6" i="25"/>
  <c r="BC14" i="25"/>
  <c r="BD14" i="25"/>
  <c r="BC23" i="25"/>
  <c r="BD23" i="25"/>
  <c r="E13" i="25"/>
  <c r="EH5" i="25"/>
  <c r="F32" i="25"/>
  <c r="Y13" i="25"/>
  <c r="AF5" i="25"/>
  <c r="AE5" i="25"/>
  <c r="AE9" i="25"/>
  <c r="AF9" i="25"/>
  <c r="Y16" i="25"/>
  <c r="E16" i="25"/>
  <c r="F47" i="25"/>
  <c r="AE14" i="25"/>
  <c r="AF14" i="25"/>
  <c r="AE15" i="25"/>
  <c r="AF15" i="25"/>
  <c r="AE21" i="25"/>
  <c r="AF21" i="25"/>
  <c r="BD3" i="25"/>
  <c r="BC3" i="25"/>
  <c r="E4" i="25"/>
  <c r="EH4" i="25"/>
  <c r="Y4" i="25"/>
  <c r="F42" i="25"/>
  <c r="BD12" i="25"/>
  <c r="BC12" i="25"/>
  <c r="BD22" i="25"/>
  <c r="BC22" i="25"/>
  <c r="BC11" i="25"/>
  <c r="BD11" i="25"/>
  <c r="BD10" i="25"/>
  <c r="BC10" i="25"/>
  <c r="F12" i="25" l="1"/>
  <c r="K12" i="25"/>
  <c r="AD12" i="25" s="1"/>
  <c r="K3" i="25"/>
  <c r="AD3" i="25" s="1"/>
  <c r="F3" i="25"/>
  <c r="F19" i="25"/>
  <c r="K19" i="25"/>
  <c r="AD19" i="25" s="1"/>
  <c r="F9" i="25"/>
  <c r="K9" i="25"/>
  <c r="AD9" i="25" s="1"/>
  <c r="K14" i="25"/>
  <c r="AD14" i="25" s="1"/>
  <c r="F14" i="25"/>
  <c r="K18" i="25"/>
  <c r="AD18" i="25" s="1"/>
  <c r="F18" i="25"/>
  <c r="K22" i="25"/>
  <c r="AD22" i="25" s="1"/>
  <c r="F22" i="25"/>
  <c r="K6" i="25"/>
  <c r="AD6" i="25" s="1"/>
  <c r="F6" i="25"/>
  <c r="F15" i="25"/>
  <c r="K15" i="25"/>
  <c r="AD15" i="25" s="1"/>
  <c r="K7" i="25"/>
  <c r="AD7" i="25" s="1"/>
  <c r="F7" i="25"/>
  <c r="F20" i="25"/>
  <c r="K20" i="25"/>
  <c r="AD20" i="25" s="1"/>
  <c r="F23" i="25"/>
  <c r="K23" i="25"/>
  <c r="AD23" i="25" s="1"/>
  <c r="F11" i="25"/>
  <c r="K11" i="25"/>
  <c r="AD11" i="25" s="1"/>
  <c r="F4" i="25"/>
  <c r="K4" i="25"/>
  <c r="AD4" i="25" s="1"/>
  <c r="F21" i="25"/>
  <c r="K21" i="25"/>
  <c r="AD21" i="25" s="1"/>
  <c r="K10" i="25"/>
  <c r="AD10" i="25" s="1"/>
  <c r="F10" i="25"/>
  <c r="K16" i="25"/>
  <c r="AD16" i="25" s="1"/>
  <c r="F16" i="25"/>
  <c r="F13" i="25"/>
  <c r="K13" i="25"/>
  <c r="AD13" i="25" s="1"/>
  <c r="F5" i="25"/>
  <c r="K5" i="25"/>
  <c r="AD5" i="25" s="1"/>
  <c r="F8" i="25"/>
  <c r="K8" i="25"/>
  <c r="AD8"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tc={60722866-77DC-DB41-987E-F1A2B6363958}</author>
  </authors>
  <commentList>
    <comment ref="AC23" authorId="0" shapeId="0" xr:uid="{60722866-77DC-DB41-987E-F1A2B6363958}">
      <text>
        <t>[Threaded comment]
Your version of Excel allows you to read this threaded comment; however, any edits to it will get removed if the file is opened in a newer version of Excel. Learn more: https://go.microsoft.com/fwlink/?linkid=870924
Comment:
    2022 H1 sales * 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L22" authorId="0" shapeId="0" xr:uid="{8F9C7B86-1662-AA48-8F2D-FBBA56A47C91}">
      <text>
        <r>
          <rPr>
            <b/>
            <sz val="9"/>
            <color rgb="FF000000"/>
            <rFont val="Tahoma"/>
            <family val="2"/>
          </rPr>
          <t>Leerick:</t>
        </r>
        <r>
          <rPr>
            <sz val="9"/>
            <color rgb="FF000000"/>
            <rFont val="Tahoma"/>
            <family val="2"/>
          </rPr>
          <t xml:space="preserve">
</t>
        </r>
        <r>
          <rPr>
            <sz val="9"/>
            <color rgb="FF000000"/>
            <rFont val="Tahoma"/>
            <family val="2"/>
          </rPr>
          <t>Included the link</t>
        </r>
      </text>
    </comment>
    <comment ref="E36" authorId="0" shapeId="0" xr:uid="{94D4A354-83ED-AB49-ABFF-C08E371AAFFD}">
      <text>
        <r>
          <rPr>
            <sz val="12"/>
            <color rgb="FF000000"/>
            <rFont val="Aptos Narrow"/>
          </rPr>
          <t xml:space="preserve">Leerick:
</t>
        </r>
        <r>
          <rPr>
            <sz val="12"/>
            <color rgb="FF000000"/>
            <rFont val="Aptos Narrow"/>
          </rPr>
          <t>Updated to 2023 remuneration</t>
        </r>
      </text>
    </comment>
    <comment ref="H36" authorId="0" shapeId="0" xr:uid="{79E8C510-1D36-2D4F-965E-C98CBB868A31}">
      <text>
        <r>
          <rPr>
            <b/>
            <sz val="9"/>
            <color rgb="FF000000"/>
            <rFont val="Tahoma"/>
            <family val="2"/>
          </rPr>
          <t xml:space="preserve">Leerick:
</t>
        </r>
        <r>
          <rPr>
            <sz val="9"/>
            <color rgb="FF000000"/>
            <rFont val="Tahoma"/>
            <family val="2"/>
          </rPr>
          <t>Updated to 2023</t>
        </r>
      </text>
    </comment>
    <comment ref="R50" authorId="0" shapeId="0" xr:uid="{B00E3C32-7242-A843-916E-1ACD22B152F5}">
      <text>
        <r>
          <rPr>
            <sz val="12"/>
            <color rgb="FF000000"/>
            <rFont val="Aptos Narrow"/>
          </rPr>
          <t xml:space="preserve">Leerick:
</t>
        </r>
        <r>
          <rPr>
            <sz val="12"/>
            <color rgb="FF000000"/>
            <rFont val="Aptos Narrow"/>
          </rPr>
          <t xml:space="preserve">Included the actual amounts for directors. In yen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tc={17F778EC-6D3F-8B46-AA20-3EC00A7E5E13}</author>
  </authors>
  <commentList>
    <comment ref="D4" authorId="0" shapeId="0" xr:uid="{17F778EC-6D3F-8B46-AA20-3EC00A7E5E13}">
      <text>
        <t xml:space="preserve">[Threaded comment]
Your version of Excel allows you to read this threaded comment; however, any edits to it will get removed if the file is opened in a newer version of Excel. Learn more: https://go.microsoft.com/fwlink/?linkid=870924
Comment:
    Double check
</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<sst xmlns="http://schemas.openxmlformats.org/spreadsheetml/2006/main" count="2307" uniqueCount="591">
  <si>
    <t>THE GLOBAL AUTO RATING 2023</t>
    <phoneticPr fontId="2" type="noConversion"/>
  </si>
  <si>
    <t>Tab</t>
    <phoneticPr fontId="2" type="noConversion"/>
  </si>
  <si>
    <t>Description</t>
    <phoneticPr fontId="2" type="noConversion"/>
  </si>
  <si>
    <t>Note</t>
    <phoneticPr fontId="2" type="noConversion"/>
  </si>
  <si>
    <t>Summary</t>
    <phoneticPr fontId="2" type="noConversion"/>
  </si>
  <si>
    <t xml:space="preserve">The tab consists of the final ratings of the top 21 OEMs for all ten metrics. The final ratings are directly used for the tables in the report. </t>
    <phoneticPr fontId="2" type="noConversion"/>
  </si>
  <si>
    <t>GAR 2022 score</t>
  </si>
  <si>
    <t xml:space="preserve">The tab shows the 2022 score for each metric by manufacturer. </t>
    <phoneticPr fontId="2" type="noConversion"/>
  </si>
  <si>
    <t>Global sales</t>
    <phoneticPr fontId="2" type="noConversion"/>
  </si>
  <si>
    <t>The global sales tab is the total of light-duty vehicle (LDV) sales in 2023 across six markets by manufacturer.</t>
    <phoneticPr fontId="2" type="noConversion"/>
  </si>
  <si>
    <t xml:space="preserve">Data regarding vehicle sales and vehicle powertrain type were derived from four sources for new vehicles sold in 2023. This includes U.S., Korea, and Japan data from MarkLines (MarkLines, 2023); Europe data from Dataforce (Dataforce, 2023); India data from Segment Y (Segment Y, 2023); and China data from WAYS (WAYS, 2023). Data on the specifications (length, gross weight and curb weight, gross battery capacity, energy consumption, driving range, charging time, and PHEV charge-depleting range) of each model were collected from specification brochures on manufacturers’ official websites and from major EV information hubs including ev-database.org, evspecifications.com, and EV-Volumes for European and U.S. models, and yiche.com and autohome.com for Chinese models. </t>
    <phoneticPr fontId="2" type="noConversion"/>
  </si>
  <si>
    <t>ZEV-equivalent sales share</t>
    <phoneticPr fontId="2" type="noConversion"/>
  </si>
  <si>
    <t xml:space="preserve">The tab provides the underlying data to evaluate the zero-emission vehicle (ZEV) and plug-in hybrid electric vehicle (PHEV) sales share in 2023 and the scoring for the ZEV-equivalent sales share metric by manufacturer. </t>
    <phoneticPr fontId="2" type="noConversion"/>
  </si>
  <si>
    <t>ZEV class coverage</t>
    <phoneticPr fontId="2" type="noConversion"/>
  </si>
  <si>
    <t xml:space="preserve">The tab provides the underlying data of ZEV (BEV and FCEV) model class coverage and the scoring for the ZEV class coverage metric by manufacturer. </t>
    <phoneticPr fontId="2" type="noConversion"/>
  </si>
  <si>
    <t>Energy consumption</t>
  </si>
  <si>
    <t xml:space="preserve">The tab provides the underlying data of average energy consumption of BEVs and the scoring for the energy consumption metric by manufacturer. </t>
    <phoneticPr fontId="2" type="noConversion"/>
  </si>
  <si>
    <t>Charging speed</t>
  </si>
  <si>
    <t xml:space="preserve">The tab provides the underlying data of average charging speed and the scoring for the charging speed metric  by manufacturer. </t>
    <phoneticPr fontId="2" type="noConversion"/>
  </si>
  <si>
    <t>Driving range</t>
  </si>
  <si>
    <t xml:space="preserve">The tab provides the underlying data of fleet-average driving range of ZEVs and the scoring for the driving range metric by manufacturer. </t>
    <phoneticPr fontId="2" type="noConversion"/>
  </si>
  <si>
    <t>Renewable energy in manufacturing</t>
    <phoneticPr fontId="2" type="noConversion"/>
  </si>
  <si>
    <t xml:space="preserve">The tab provides the underlying information and data to evaluate manufacturers' efforts to use renewable electrity to decarbonize the vehicle and battery production and the scoring for the renewable energy in manufacturing metric by manufacturer. </t>
    <phoneticPr fontId="2" type="noConversion"/>
  </si>
  <si>
    <t xml:space="preserve">Information related to manufacturer-specific actions on ZEV targets, use of renewable energy in manufacturing, and battery recycling and repurposing was primarily sourced from the manufacturers' latest annual sustainability reports. The data used to assess manufacturers’investments in ZEVs was obtained from Atlas Public Policy's EV Hub and verified with publicly available information from manufacturers’ reports and official announcements. Information on manufacturer's executive compensation was extracted from the proxy statements and other public filings of each manufacturer and cross-validated by Valens Research. Information and data of five metrics were supplemented with official press releases, media articles, and public announcements collected through the end of 2023. Further, information may reflect manufacturers' feedback to our survey by referring to their sustainability reports published in 2024, which only strictly reflecst manufacturer's efforts in 2023. </t>
    <phoneticPr fontId="2" type="noConversion"/>
  </si>
  <si>
    <t>Battery recycling and repurposing</t>
    <phoneticPr fontId="2" type="noConversion"/>
  </si>
  <si>
    <t xml:space="preserve">The tab provides the underlying information and data to evaluate manufacturers' efforts in battery recycling and repurposing across the six markets and the scoring for the battery recycling and repurposing metric by manufacturer. </t>
    <phoneticPr fontId="2" type="noConversion"/>
  </si>
  <si>
    <t>ZEV target</t>
    <phoneticPr fontId="2" type="noConversion"/>
  </si>
  <si>
    <t xml:space="preserve">The tab provides the underlying data to evaluate manufacturers' level of ambition in transitioning to a 100% ZEV fleet and the scoring for the ZEV target metric by manufacturer. </t>
    <phoneticPr fontId="2" type="noConversion"/>
  </si>
  <si>
    <t>ZEV investment</t>
    <phoneticPr fontId="2" type="noConversion"/>
  </si>
  <si>
    <t>Executive compensation alignment</t>
    <phoneticPr fontId="2" type="noConversion"/>
  </si>
  <si>
    <t xml:space="preserve">The tab provides the underlying information and data used to determine the ZEV executive compensation alignment metric and the scoring for the executive compensation metric by manufacturer. </t>
    <phoneticPr fontId="2" type="noConversion"/>
  </si>
  <si>
    <t>OEM</t>
    <phoneticPr fontId="2" type="noConversion"/>
  </si>
  <si>
    <t>Market dominance</t>
    <phoneticPr fontId="2" type="noConversion"/>
  </si>
  <si>
    <t>2023 rating</t>
  </si>
  <si>
    <t>Technology performance</t>
    <phoneticPr fontId="2" type="noConversion"/>
  </si>
  <si>
    <t>Strategic vision</t>
    <phoneticPr fontId="2" type="noConversion"/>
  </si>
  <si>
    <t>OEM</t>
  </si>
  <si>
    <t>2023 Overall</t>
  </si>
  <si>
    <t>ZEVe sales share</t>
    <phoneticPr fontId="2" type="noConversion"/>
  </si>
  <si>
    <t>Pillar score</t>
    <phoneticPr fontId="2" type="noConversion"/>
  </si>
  <si>
    <t>Energy consumption</t>
    <phoneticPr fontId="2" type="noConversion"/>
  </si>
  <si>
    <t>Renewable energy</t>
  </si>
  <si>
    <t>Battery recycle/repurpose</t>
    <phoneticPr fontId="2" type="noConversion"/>
  </si>
  <si>
    <t>ZEV target</t>
  </si>
  <si>
    <t>Executive compensation</t>
  </si>
  <si>
    <t>ZEVe 
sales share</t>
    <phoneticPr fontId="2" type="noConversion"/>
  </si>
  <si>
    <t>Charging 
speed</t>
    <phoneticPr fontId="2" type="noConversion"/>
  </si>
  <si>
    <t>Driving 
range</t>
    <phoneticPr fontId="2" type="noConversion"/>
  </si>
  <si>
    <t>ZEV 
target</t>
    <phoneticPr fontId="2" type="noConversion"/>
  </si>
  <si>
    <t>ZEV 
investment</t>
    <phoneticPr fontId="2" type="noConversion"/>
  </si>
  <si>
    <t>ZEV-equivalent 
 sales share (0-100)</t>
    <phoneticPr fontId="2" type="noConversion"/>
  </si>
  <si>
    <t>Class coverage
(0-100)</t>
    <phoneticPr fontId="2" type="noConversion"/>
  </si>
  <si>
    <t>Pillar score
(0-100)</t>
    <phoneticPr fontId="2" type="noConversion"/>
  </si>
  <si>
    <t>Energy consumption 
(0-100)</t>
    <phoneticPr fontId="2" type="noConversion"/>
  </si>
  <si>
    <t>Charging speed
(0-100)</t>
    <phoneticPr fontId="2" type="noConversion"/>
  </si>
  <si>
    <t>Driving range
(0-100)</t>
    <phoneticPr fontId="2" type="noConversion"/>
  </si>
  <si>
    <t>Renewable energy
(0-100)</t>
    <phoneticPr fontId="2" type="noConversion"/>
  </si>
  <si>
    <t>Battery recycle/repurpose
(0-100)</t>
    <phoneticPr fontId="2" type="noConversion"/>
  </si>
  <si>
    <t>ZEV target
(0-100)</t>
    <phoneticPr fontId="2" type="noConversion"/>
  </si>
  <si>
    <t>ZEV investment
(0-100)</t>
    <phoneticPr fontId="2" type="noConversion"/>
  </si>
  <si>
    <t>Executive compensation
(0-100)</t>
    <phoneticPr fontId="2" type="noConversion"/>
  </si>
  <si>
    <t>Tesla</t>
  </si>
  <si>
    <t>Leaders</t>
    <phoneticPr fontId="2" type="noConversion"/>
  </si>
  <si>
    <t>Leaders</t>
  </si>
  <si>
    <t>BYD</t>
  </si>
  <si>
    <t>BMW</t>
  </si>
  <si>
    <t>Transitioners</t>
    <phoneticPr fontId="2" type="noConversion"/>
  </si>
  <si>
    <t>Transitioners</t>
  </si>
  <si>
    <t>SAIC</t>
  </si>
  <si>
    <t>VW</t>
  </si>
  <si>
    <t>GM</t>
  </si>
  <si>
    <t>Mercedes-Benz</t>
  </si>
  <si>
    <t>Geely</t>
  </si>
  <si>
    <t>SAIC</t>
    <phoneticPr fontId="2" type="noConversion"/>
  </si>
  <si>
    <t>Stellantis</t>
  </si>
  <si>
    <t>Stellantis</t>
    <phoneticPr fontId="2" type="noConversion"/>
  </si>
  <si>
    <t>Changan</t>
  </si>
  <si>
    <t>Toyota</t>
  </si>
  <si>
    <t>VW</t>
    <phoneticPr fontId="2" type="noConversion"/>
  </si>
  <si>
    <t>Tata Motors</t>
  </si>
  <si>
    <t>Ford</t>
  </si>
  <si>
    <t>Great Wall</t>
  </si>
  <si>
    <t>Renault</t>
  </si>
  <si>
    <t>Changan</t>
    <phoneticPr fontId="2" type="noConversion"/>
  </si>
  <si>
    <t>Hyundai Kia</t>
  </si>
  <si>
    <t>GM</t>
    <phoneticPr fontId="2" type="noConversion"/>
  </si>
  <si>
    <t>Great Wall</t>
    <phoneticPr fontId="2" type="noConversion"/>
  </si>
  <si>
    <t>Laggards</t>
    <phoneticPr fontId="2" type="noConversion"/>
  </si>
  <si>
    <t>Ford</t>
    <phoneticPr fontId="2" type="noConversion"/>
  </si>
  <si>
    <t>Honda</t>
  </si>
  <si>
    <t>Chery</t>
    <phoneticPr fontId="2" type="noConversion"/>
  </si>
  <si>
    <t>Nissan</t>
  </si>
  <si>
    <t>Hyundai Kia</t>
    <phoneticPr fontId="2" type="noConversion"/>
  </si>
  <si>
    <t>Laggards</t>
  </si>
  <si>
    <t>Toyota</t>
    <phoneticPr fontId="2" type="noConversion"/>
  </si>
  <si>
    <t>Honda</t>
    <phoneticPr fontId="2" type="noConversion"/>
  </si>
  <si>
    <t>Nissan</t>
    <phoneticPr fontId="2" type="noConversion"/>
  </si>
  <si>
    <t>Mazda</t>
  </si>
  <si>
    <t>Mazda</t>
    <phoneticPr fontId="2" type="noConversion"/>
  </si>
  <si>
    <t>Suzuki</t>
  </si>
  <si>
    <t>N/A</t>
    <phoneticPr fontId="2" type="noConversion"/>
  </si>
  <si>
    <t>Suzuki</t>
    <phoneticPr fontId="2" type="noConversion"/>
  </si>
  <si>
    <t>ID</t>
    <phoneticPr fontId="2" type="noConversion"/>
  </si>
  <si>
    <t>Market dominance</t>
  </si>
  <si>
    <t>2023 Rating</t>
    <phoneticPr fontId="2" type="noConversion"/>
  </si>
  <si>
    <t>Name matching</t>
    <phoneticPr fontId="2" type="noConversion"/>
  </si>
  <si>
    <t>2023 vs. 2022 score</t>
    <phoneticPr fontId="2" type="noConversion"/>
  </si>
  <si>
    <t>Tesla</t>
    <phoneticPr fontId="2" type="noConversion"/>
  </si>
  <si>
    <t>Chang'an</t>
    <phoneticPr fontId="2" type="noConversion"/>
  </si>
  <si>
    <t>Hyundai-Kia</t>
    <phoneticPr fontId="2" type="noConversion"/>
  </si>
  <si>
    <t>Metric score</t>
    <phoneticPr fontId="2" type="noConversion"/>
  </si>
  <si>
    <t>Charging speed</t>
    <phoneticPr fontId="2" type="noConversion"/>
  </si>
  <si>
    <t>Driving range</t>
    <phoneticPr fontId="2" type="noConversion"/>
  </si>
  <si>
    <t>Renewable energy</t>
    <phoneticPr fontId="2" type="noConversion"/>
  </si>
  <si>
    <t>Executive compensation</t>
    <phoneticPr fontId="2" type="noConversion"/>
  </si>
  <si>
    <t>BYD</t>
    <phoneticPr fontId="2" type="noConversion"/>
  </si>
  <si>
    <t>Metric raw points (before mapping into 0-100 scoring scale)</t>
    <phoneticPr fontId="2" type="noConversion"/>
  </si>
  <si>
    <t>Final</t>
    <phoneticPr fontId="2" type="noConversion"/>
  </si>
  <si>
    <t>Max</t>
    <phoneticPr fontId="2" type="noConversion"/>
  </si>
  <si>
    <t>Min</t>
    <phoneticPr fontId="2" type="noConversion"/>
  </si>
  <si>
    <t>Method change*</t>
    <phoneticPr fontId="2" type="noConversion"/>
  </si>
  <si>
    <t>N</t>
  </si>
  <si>
    <t>Y</t>
  </si>
  <si>
    <t>The historical highest benchmark score observed between the 2022 and 2023 scoring for a specific metric.</t>
    <phoneticPr fontId="2" type="noConversion"/>
  </si>
  <si>
    <t>The historical lowest benchmark score observed between the 2022 and 2023 scoring for a specific metric.</t>
    <phoneticPr fontId="2" type="noConversion"/>
  </si>
  <si>
    <r>
      <rPr>
        <sz val="12"/>
        <color rgb="FFC00000"/>
        <rFont val="Calibri"/>
        <family val="2"/>
      </rPr>
      <t>Red</t>
    </r>
    <r>
      <rPr>
        <sz val="12"/>
        <color theme="1"/>
        <rFont val="Calibri"/>
        <family val="2"/>
      </rPr>
      <t xml:space="preserve"> text indicates that the benchmark score used is is based on the 2022 score.</t>
    </r>
    <phoneticPr fontId="2" type="noConversion"/>
  </si>
  <si>
    <t>ID</t>
  </si>
  <si>
    <t>2022 Score</t>
    <phoneticPr fontId="2" type="noConversion"/>
  </si>
  <si>
    <t>Technology preparedness</t>
  </si>
  <si>
    <t>Future outlook</t>
  </si>
  <si>
    <t>2023 Rating</t>
  </si>
  <si>
    <t>Rename</t>
    <phoneticPr fontId="2" type="noConversion"/>
  </si>
  <si>
    <t>Light-duty vehicles sales in 2023</t>
    <phoneticPr fontId="2" type="noConversion"/>
  </si>
  <si>
    <t>Key ID</t>
    <phoneticPr fontId="2" type="noConversion"/>
  </si>
  <si>
    <t>China</t>
  </si>
  <si>
    <t>Europe</t>
  </si>
  <si>
    <t>US</t>
    <phoneticPr fontId="2" type="noConversion"/>
  </si>
  <si>
    <t>Japan</t>
  </si>
  <si>
    <t>India</t>
  </si>
  <si>
    <t>Korea</t>
  </si>
  <si>
    <t>Total</t>
    <phoneticPr fontId="2" type="noConversion"/>
  </si>
  <si>
    <t>BMW</t>
    <phoneticPr fontId="2" type="noConversion"/>
  </si>
  <si>
    <t>Chery</t>
  </si>
  <si>
    <t>Tata Motors</t>
    <phoneticPr fontId="2" type="noConversion"/>
  </si>
  <si>
    <t>Hyundai (B)</t>
    <phoneticPr fontId="2" type="noConversion"/>
  </si>
  <si>
    <t>Grand Total</t>
  </si>
  <si>
    <t>Kia (B)</t>
    <phoneticPr fontId="2" type="noConversion"/>
  </si>
  <si>
    <t>Geely (B)</t>
    <phoneticPr fontId="2" type="noConversion"/>
  </si>
  <si>
    <t>Volvo cars (B)</t>
    <phoneticPr fontId="2" type="noConversion"/>
  </si>
  <si>
    <t>Tata (B)</t>
    <phoneticPr fontId="2" type="noConversion"/>
  </si>
  <si>
    <t>JLR (B)</t>
    <phoneticPr fontId="2" type="noConversion"/>
  </si>
  <si>
    <t>Subaru</t>
    <phoneticPr fontId="2" type="noConversion"/>
  </si>
  <si>
    <t>Table 2. Sales data for OEMs and selected brands only (aggregated from the table below)</t>
    <phoneticPr fontId="2" type="noConversion"/>
  </si>
  <si>
    <t>Six market sales</t>
    <phoneticPr fontId="2" type="noConversion"/>
  </si>
  <si>
    <t>Group</t>
  </si>
  <si>
    <t>LDV</t>
    <phoneticPr fontId="2" type="noConversion"/>
  </si>
  <si>
    <t>PV</t>
    <phoneticPr fontId="2" type="noConversion"/>
  </si>
  <si>
    <t>LCV</t>
    <phoneticPr fontId="2" type="noConversion"/>
  </si>
  <si>
    <t>OEM</t>
    <phoneticPr fontId="3" type="noConversion"/>
  </si>
  <si>
    <t>Brand</t>
    <phoneticPr fontId="2" type="noConversion"/>
  </si>
  <si>
    <t>China</t>
    <phoneticPr fontId="2" type="noConversion"/>
  </si>
  <si>
    <t>Europe</t>
    <phoneticPr fontId="2" type="noConversion"/>
  </si>
  <si>
    <t>Japan</t>
    <phoneticPr fontId="2" type="noConversion"/>
  </si>
  <si>
    <t>India</t>
    <phoneticPr fontId="2" type="noConversion"/>
  </si>
  <si>
    <t>Korea</t>
    <phoneticPr fontId="2" type="noConversion"/>
  </si>
  <si>
    <t>%share</t>
    <phoneticPr fontId="3" type="noConversion"/>
  </si>
  <si>
    <t>Geely</t>
    <phoneticPr fontId="2" type="noConversion"/>
  </si>
  <si>
    <t>Table 3. Sales data 2023 for OEM by brand</t>
    <phoneticPr fontId="2" type="noConversion"/>
  </si>
  <si>
    <t>OEM name</t>
    <phoneticPr fontId="2" type="noConversion"/>
  </si>
  <si>
    <t>Note that rows in bold text is the the OEM level sales data</t>
    <phoneticPr fontId="2" type="noConversion"/>
  </si>
  <si>
    <t>Daihatsu</t>
  </si>
  <si>
    <t>Lexus</t>
  </si>
  <si>
    <t>Toyota (B)</t>
  </si>
  <si>
    <t>Audi</t>
  </si>
  <si>
    <t>Bentley</t>
  </si>
  <si>
    <t>Bugatti</t>
  </si>
  <si>
    <t>Cupra</t>
  </si>
  <si>
    <t>Jetta</t>
  </si>
  <si>
    <t>Lamborghini</t>
  </si>
  <si>
    <t>MAN</t>
  </si>
  <si>
    <t>Porsche</t>
  </si>
  <si>
    <t>SEAT</t>
  </si>
  <si>
    <t>Skoda</t>
  </si>
  <si>
    <t>VW (B)</t>
  </si>
  <si>
    <t>BrightDrop</t>
  </si>
  <si>
    <t>Buick</t>
  </si>
  <si>
    <t>Cadillac</t>
  </si>
  <si>
    <t>Chevrolet</t>
  </si>
  <si>
    <t>GM (B)</t>
  </si>
  <si>
    <t>GMC</t>
  </si>
  <si>
    <t>Hummer</t>
  </si>
  <si>
    <t>Hyundai-Kia</t>
  </si>
  <si>
    <t>Hyundai (B)</t>
  </si>
  <si>
    <t>Kia (B)</t>
  </si>
  <si>
    <t>Genesis</t>
  </si>
  <si>
    <t>Abarth</t>
  </si>
  <si>
    <t>Alfa Romeo</t>
  </si>
  <si>
    <t>Chrysler</t>
  </si>
  <si>
    <t>Citroen</t>
  </si>
  <si>
    <t>Dodge</t>
  </si>
  <si>
    <t>DS</t>
  </si>
  <si>
    <t>Fiat</t>
  </si>
  <si>
    <t>Fukang</t>
  </si>
  <si>
    <t>Jeep</t>
  </si>
  <si>
    <t>Lancia</t>
  </si>
  <si>
    <t>Maserati</t>
  </si>
  <si>
    <t>Opel/Vauxhall</t>
  </si>
  <si>
    <t>Peugeot</t>
  </si>
  <si>
    <t>Ram</t>
  </si>
  <si>
    <t>Acura</t>
  </si>
  <si>
    <t>Honda (B)</t>
  </si>
  <si>
    <t>Ford (B)</t>
  </si>
  <si>
    <t>Lincoln</t>
  </si>
  <si>
    <t>Maruti</t>
  </si>
  <si>
    <t>Suzuki (B)</t>
  </si>
  <si>
    <t>Datsun</t>
  </si>
  <si>
    <t>Infiniti</t>
  </si>
  <si>
    <t>Nissan (B)</t>
  </si>
  <si>
    <t>BMW (B)</t>
  </si>
  <si>
    <t>MINI</t>
  </si>
  <si>
    <t>Rolls-Royce</t>
  </si>
  <si>
    <t>Mercedes-Benz</t>
    <phoneticPr fontId="2" type="noConversion"/>
  </si>
  <si>
    <t>Mercedes-Benz (B)</t>
  </si>
  <si>
    <t>Mercedes-Maybach</t>
  </si>
  <si>
    <t>Smart</t>
  </si>
  <si>
    <t>Avatr</t>
  </si>
  <si>
    <t>Changan (B)</t>
  </si>
  <si>
    <t>Deepal</t>
  </si>
  <si>
    <t>Kaicene</t>
  </si>
  <si>
    <t>Kuayue</t>
  </si>
  <si>
    <t>Oushang</t>
  </si>
  <si>
    <t>Qiyuan</t>
  </si>
  <si>
    <t>BYD (B)</t>
  </si>
  <si>
    <t>BYD (Other)</t>
  </si>
  <si>
    <t>Denza</t>
  </si>
  <si>
    <t>Fangchengbao</t>
  </si>
  <si>
    <t>Yangwang</t>
  </si>
  <si>
    <t>Renault</t>
    <phoneticPr fontId="2" type="noConversion"/>
  </si>
  <si>
    <t>Alpine</t>
  </si>
  <si>
    <t>Dacia</t>
  </si>
  <si>
    <t>JMEV</t>
  </si>
  <si>
    <t>Lada</t>
  </si>
  <si>
    <t>Renault (B)</t>
  </si>
  <si>
    <t>Renault Korea</t>
  </si>
  <si>
    <t>Baojun</t>
  </si>
  <si>
    <t>Clever</t>
  </si>
  <si>
    <t>IM Motors</t>
  </si>
  <si>
    <t>Maxus</t>
  </si>
  <si>
    <t>MG</t>
  </si>
  <si>
    <t>R Auto/Rising Auto</t>
  </si>
  <si>
    <t>Roewe</t>
  </si>
  <si>
    <t>Wuling (SAIC)</t>
  </si>
  <si>
    <t>Yuejin</t>
  </si>
  <si>
    <t>Great Wall (B)</t>
  </si>
  <si>
    <t>Haval</t>
  </si>
  <si>
    <t>Ora</t>
  </si>
  <si>
    <t>Tank</t>
  </si>
  <si>
    <t>Wey</t>
  </si>
  <si>
    <t>Caocao</t>
  </si>
  <si>
    <t>Geely (B)</t>
  </si>
  <si>
    <t>LEVC</t>
  </si>
  <si>
    <t>Livan</t>
  </si>
  <si>
    <t>LYNK &amp; CO</t>
  </si>
  <si>
    <t>Ouling</t>
  </si>
  <si>
    <t>Polestar</t>
  </si>
  <si>
    <t>Radar</t>
  </si>
  <si>
    <t>Volvo Cars (B)</t>
  </si>
  <si>
    <t>Yuancheng</t>
  </si>
  <si>
    <t>ZD</t>
  </si>
  <si>
    <t>Zeekr</t>
  </si>
  <si>
    <t>Jiyue</t>
  </si>
  <si>
    <t>Jaguar</t>
  </si>
  <si>
    <t>Land Rover</t>
  </si>
  <si>
    <t>Tata (B)</t>
  </si>
  <si>
    <t>Chery (B)</t>
    <phoneticPr fontId="2" type="noConversion"/>
  </si>
  <si>
    <t>Exeed</t>
  </si>
  <si>
    <t>iCar</t>
  </si>
  <si>
    <t>Jetour</t>
  </si>
  <si>
    <t>Kaiyi/Cowin</t>
  </si>
  <si>
    <t>Karry</t>
  </si>
  <si>
    <t>Luxeed</t>
  </si>
  <si>
    <t>Qijie</t>
  </si>
  <si>
    <t>Qoros</t>
  </si>
  <si>
    <t>ZX/Zhongxiong</t>
  </si>
  <si>
    <t>2023 Full Year</t>
    <phoneticPr fontId="2" type="noConversion"/>
  </si>
  <si>
    <t>HIDE</t>
    <phoneticPr fontId="2" type="noConversion"/>
  </si>
  <si>
    <t>ZEV equivalent share</t>
  </si>
  <si>
    <t>Global</t>
  </si>
  <si>
    <t>Score</t>
  </si>
  <si>
    <t>United States</t>
  </si>
  <si>
    <t>ZEV</t>
  </si>
  <si>
    <t>PHEV</t>
  </si>
  <si>
    <t>ZEVe</t>
  </si>
  <si>
    <t>.</t>
  </si>
  <si>
    <t>GWM</t>
  </si>
  <si>
    <t>Tata</t>
  </si>
  <si>
    <t>Summary for threshold = 1000</t>
  </si>
  <si>
    <t>Class coverage by market</t>
  </si>
  <si>
    <t>LDV as weight</t>
  </si>
  <si>
    <t>Sales-weighted class coverage</t>
  </si>
  <si>
    <t> </t>
  </si>
  <si>
    <t>Threshold=1000</t>
  </si>
  <si>
    <t>Hide</t>
  </si>
  <si>
    <t>PC (wh/km)</t>
  </si>
  <si>
    <t>LCV (wh/km)</t>
  </si>
  <si>
    <t>Sales-weighted avg adj energy consumption (Wh/km))</t>
    <phoneticPr fontId="2" type="noConversion"/>
  </si>
  <si>
    <t>Original energy consumption</t>
    <phoneticPr fontId="2" type="noConversion"/>
  </si>
  <si>
    <t>Subcompact</t>
  </si>
  <si>
    <t>Compact</t>
  </si>
  <si>
    <t>Midsize</t>
  </si>
  <si>
    <t>Large</t>
  </si>
  <si>
    <t>SUV/MPV</t>
  </si>
  <si>
    <t>Small</t>
  </si>
  <si>
    <t>Medium</t>
  </si>
  <si>
    <t/>
  </si>
  <si>
    <t>Charger type</t>
  </si>
  <si>
    <t>Market share (%)</t>
  </si>
  <si>
    <t>Normal</t>
  </si>
  <si>
    <t>Fast</t>
  </si>
  <si>
    <t>2023 Full year</t>
    <phoneticPr fontId="2" type="noConversion"/>
  </si>
  <si>
    <t>PC (km)</t>
  </si>
  <si>
    <t>LCV (km)</t>
  </si>
  <si>
    <t>Renewable electricity use at vehicle and battery production plants</t>
    <phoneticPr fontId="2" type="noConversion"/>
  </si>
  <si>
    <t>Renewable electricity use by battery suppliers</t>
  </si>
  <si>
    <r>
      <t>Renewable electricity use at vehicle and battery production plants</t>
    </r>
    <r>
      <rPr>
        <b/>
        <vertAlign val="superscript"/>
        <sz val="16"/>
        <color rgb="FFFFFFFF"/>
        <rFont val="Calibri"/>
        <family val="2"/>
      </rPr>
      <t>a</t>
    </r>
    <phoneticPr fontId="2" type="noConversion"/>
  </si>
  <si>
    <t>2023 Score</t>
    <phoneticPr fontId="2" type="noConversion"/>
  </si>
  <si>
    <t>Share of electricity that is renewable</t>
  </si>
  <si>
    <t>Scope of 
production plants</t>
    <phoneticPr fontId="2" type="noConversion"/>
  </si>
  <si>
    <t>Global</t>
    <phoneticPr fontId="2" type="noConversion"/>
  </si>
  <si>
    <t>Global market share %</t>
    <phoneticPr fontId="2" type="noConversion"/>
  </si>
  <si>
    <t>Source batteries from suppliers?</t>
  </si>
  <si>
    <t>Require suppliers to use renewable electricity?</t>
  </si>
  <si>
    <t xml:space="preserve">All global group production sites and the majority of its other sites use electricity derived from renewable sources via in-house generation, direct procurement or Energy Attribute Certificates (e.g. certificates of origin) (2023 Sustainability Report, page 108).
</t>
    <phoneticPr fontId="2" type="noConversion"/>
  </si>
  <si>
    <t>BMW has a scientifically tested and confirmed target for reducing carbon emissions in the supply chain. In particular, the use of renewable energy sources as a criterion for awarding contracts to suppliers and a continuously rising secondary raw materials ratio will contribute to achieving the target (2023 Sustainability Report, page 98)
BMW relies on measures to reduce carbon emissions, such as the use of renewable energies (In-house generation, direct purchase or Energy Attributes Certificates (e.g. certificates of origin) in both its own operations and those of its suppliers. BMW has established a firm commitment to make carbon-reducing measures an award criterion in its supplier network. Green electricity offers the greatest potential for reducing carbon emissions in the supply chain. The BMW Group makes its use  for direct suppliers (Tier-1) and energy-intensive processes in the upstream chain (n-Tier) a criterion for awarding new contracts to manufacture carbon-intensive components and materials (Sustainability Report, page 98).</t>
    <phoneticPr fontId="2" type="noConversion"/>
  </si>
  <si>
    <t>Global plants</t>
  </si>
  <si>
    <t>Yes</t>
  </si>
  <si>
    <t>The share of renewable energies in the production of Mercedes-Benz Cars and Mercedes-Benz Vans in total electricity consumption is 100%. Since 2022, all of Mercedes-Benz AG's own production plants worldwide have been sourcing electricity exclusively from renewable sources (2023 Sustainability Report, page 20).</t>
    <phoneticPr fontId="2" type="noConversion"/>
  </si>
  <si>
    <t>Mercedes-Benz AG is increasingly pursuing its local strategy with several suppliers – in the full knowledge
that raw material resources are limited in some regions. The company has now also made the net carbon- neutral production of battery cells a key requirement when awarding contracts to its battery cell partners. By extending sustainability requirements to the production of the cathode material, Mercedes-Benz AG can now reduce emissions per battery cell by around 40% (2023 Sustainability Report, page 79).
Mercedes-Benz AG aims to achieve a further reduction in CO2 emissions in battery production by using renewable energies in the production and refinement of raw materials. One example of this is the partnership with the German-Canadian start-up Rock Tech Inc., which is building a refinery for lithium hydroxide in Guben (Germany).
The supply agreement stipulates that both partners will work together on a roadmap for the net carbon-neutral production of lithium hydroxide by 2030 (2023 Sustainability Report, page 79).</t>
    <phoneticPr fontId="2" type="noConversion"/>
  </si>
  <si>
    <t>Yes</t>
    <phoneticPr fontId="2" type="noConversion"/>
  </si>
  <si>
    <t>In 2023, 56.3% of the Group’s total global electricity consumption at its production sites (including China) was accounted for by electricity from renewable sources. Compared with the previous year, this is a rise of 1.5%. As a result of the efforts in energy efficiency and renewable energy supply, VW already operate eight production sites on a carbon-neutral basis (taking offset measures into account). These are the sites in Brussels and Győr (Audi), Zwickau and Dresden (Volkswagen), Zuffenhausen and Leipzig (Porsche), Crewe (Bentley) and Vrchlabí (Škoda) (2023 Sustainability report,page 57).
Further progress is being made in supplying plants with electricity from renewable energies. The percentage of electricity purchased externally rose from 99.6% to 100% at EU production sites within one year. To date, 56 Group production sites have been supplied with external electricity from 100% renewable energy sources. Of these, 39 sites are within the EU and 17 sites are outside the EU (2023 Sustainability report,page 57).</t>
    <phoneticPr fontId="2" type="noConversion"/>
  </si>
  <si>
    <t>The VW Group is countering this risk by switching its energy supply to renewable energies in the long term and integrating corresponding quotas for the use of renewably generated electricity in supplier-side procurement requirements (2023 Sustainability report, page 49).
All suppliers (new contract awards) of high-voltage batteries are already contractually obliged to use certified power from renewable sources in their production processes. In addition, there are further requirements for upstream stages of the value chain, such as the CO2 limits (2023 Sustainability report, page 54).</t>
    <phoneticPr fontId="2" type="noConversion"/>
  </si>
  <si>
    <t>All plants in the European Union</t>
    <phoneticPr fontId="2" type="noConversion"/>
  </si>
  <si>
    <t>17 non-EU plants</t>
    <phoneticPr fontId="2" type="noConversion"/>
  </si>
  <si>
    <t>The status in 2023 of renewable electricity for its global manufacturing operations was 50.8% and 70.5% for carbon-free electricity (2023 Sustainability report, page 66). Regionally, Ford has made significant progress toward these objectives. Ford achieved the equivalent of 100% carbon-free electricity sourcing for our manufacturing facilities in Europe, Mexico, and Ohio (2023 Sustainability report, page 66). All purchased electricity for manufacturing in Europe is now renewable and all manufacturing locations in Mexico and Ohio are powered by 100% carbon-free electricity (2023 Sustainability report, page 66).</t>
    <phoneticPr fontId="2" type="noConversion"/>
  </si>
  <si>
    <t xml:space="preserve">
No specific requirement on the usage of renewable electricity for all suppliers. 
All production suppliers were required to submit their GHG reduction targets by the end of 2023. Such information were used to develop a joint roadmap with them on Ford's journey toward carbon neutrality. Ford uses internal targets for increasing engagement with our supply chain partners, including building on our successful CDP Supply Chain reporting program and our internal best practice Partnership for A Cleaner Environment (PACE) program. (2023 Sustainability report, page 46).
</t>
    <phoneticPr fontId="2" type="noConversion"/>
  </si>
  <si>
    <t>No</t>
  </si>
  <si>
    <t>All plants in Europe</t>
    <phoneticPr fontId="2" type="noConversion"/>
  </si>
  <si>
    <t>Renewable energy accounted for 7.7% of total electricity consumption in 2022. Hyundai Motor Manufacturing Czech (HMMC) has transitioned to 100% renewable energy for the electricity used in its plant through the guarantee of origin (GO) system in 2022 (2022 Sustainability report, page 32). HMI (India) procured 42.1% of its total electricity from renewable sources and aims to meet 100 percent of its electricity consumption with renewable energy by 2025. HMI sources approximately 33.3% of its total electricity consumption through the purchase of eco-friendly energy (PPAs) to power its factories, and 8.5% of its electricity is purchased through renewable energy certificates (RECs). Furthermore, HMI has its own photovoltaic power generation facility, with a capacity of 0.3% (0.69 MW) (2022 Sustainability report, page 32). Hyundai Motor Manufacturing Indonesia (HMMI) achieved RE100 in its vehicle production in 2023 by signing a forward purchase agreement for RECs issued by a geothermal power plant located in Bandung in the West Java province. Hyundai Assan Otomotiv Sanayi (HAOS) HAOS in Turkey procures 51.7% of its total electricity from renewable sources (2022 Sustainability report, page 32).
Kia's estimated total renewable energy in electricity consumption was 4.1%. (2022 Sustainability report, page 58). Kia's Autoland Slovakia, one of the overseas production corporations, has been running entirely on renewable energy electricity since 2019. Autoland India completed the installation of 1.6MW solar power generation facility in June 2023.  Furthermore, Kia is developing and promoting a customized renewable energy conversion plan that takes into account the unique conditions of each country, such as in the United States, India, China, and Mexico (2022 Sustainability report, page 15)</t>
    <phoneticPr fontId="2" type="noConversion"/>
  </si>
  <si>
    <t>No specific requirement on the usage of renewable electricity for all suppliers. 
Hyundai is committed to encouraging its tier-1 part suppliers and raw material suppliers to achieve supply chain carbon neutrality and plans to establish a monitoring and management system for suppliers' carbon emissions. In 2022, Hyundai developed and distributed the Carbon Neutral Guide for Suppliers and plan to introduce the CDP Supply Chain program starting from 2023 to engage suppliers in environmental initiatives and support them (2022 Sustainability report, page 33).
Kia requires its suppliers to comply with laws and regulations, as well as establish the best operating systems in the 6 areas of ethics, environment, labor/human rights, safety/health, management systems, and supply chain inspections. Kia incorporates ESG criteria in the selection process of suppliers and conducts an annual ESG evaluation for all suppliers engaged in business transactions. The evaluation results are utilized to enhance supply chain risk management and support strengthening ESG implementation (2022 Sustainability report, page 92-94)</t>
    <phoneticPr fontId="2" type="noConversion"/>
  </si>
  <si>
    <t>All plants in the European Union</t>
  </si>
  <si>
    <t>Geely's percentage of renewable electricity in vehicle plants' electricity use was 60% in 2023 (2023 Survey response). Volvo Car's manufacturing facilities consumed 66% climate neutral energy including 94% climate neutral electricity and 93% renewable electricity in 2023 (2023 Sustainability report, page 155).</t>
    <phoneticPr fontId="2" type="noConversion"/>
  </si>
  <si>
    <t>No specific requirement on the usage of renewable electricity for all suppliers. 
Percentage of Tier-1 core suppliers using 100% renewable electricity was 10% (Page 5,19) Percentage of Tier-1 suppliers using renewable electricity was 30% (Page 19). 93% Suppliers signed Supplier Code of Conduct, 83% Tier 1 suppliers adopted Drive Sustainability Self-Assessment Questionnaire, &gt;90% Suppliers participated ESG (Page 5). Geely reviews the suppliers by investigating and verifying their renewable energy planning and carbon emission status to make carbon reduction plan by levels and guide their work related to carbon emission reduction. Given the importance of the renewable electricity for carbon emission reduction, the Group have set a goal for the proportion of using renewable electricity by tier-1 core suppliers to reach 100% by 2025 (Page 30).
In order to reduce emissions in the supply chain, Volvo Cars requested directly contracted suppliers to use 100% climate-neutral energy by 2025 (2023 Sustainability report, page 155).  All new suppliers are required to present a roadmap showing how they will reach one hundred per cent climate-neutral energy consumption by 2025, unless they have already met this goal.</t>
    <phoneticPr fontId="2" type="noConversion"/>
  </si>
  <si>
    <r>
      <t xml:space="preserve">36% </t>
    </r>
    <r>
      <rPr>
        <sz val="12"/>
        <color rgb="FF000000"/>
        <rFont val="Calibri"/>
        <family val="2"/>
      </rPr>
      <t>(Geely)</t>
    </r>
    <phoneticPr fontId="2" type="noConversion"/>
  </si>
  <si>
    <t>100% (Volvo Cars)</t>
  </si>
  <si>
    <t>In FY 2022-23, the Company generated / sourced 81 million kWh of renewable electricity for its manufacturing operations which is 26% of the total power consumption (2022/2023 Integrated report, page 165 and 179).
JLR continues to purchase 100% renewable-backed electricity for all core UK operations (2023 JLR annual report, page 43.  Nitra of the Slovakia plant uses 100% renewable electricity, sourced exclusively from sustainable sources, and sends zero waste to landfill. The Land Rover Discovery and new Land Rover Defender are built at the Nitra facility (https://www.jaguarlandrover.com/global-footprint)</t>
    <phoneticPr fontId="2" type="noConversion"/>
  </si>
  <si>
    <t>No specific requirement on the usage of renewable electricity for all suppliers. 
Tata Motors  established a Supplier Code of Conduct, an Environmental Procurement Policy, and Sustainability Guidelines for Suppliers (2022/2023 Integrated report, page 142). In addition to establishing these guidelines, Tata Motors  conducted sustainability assessments of our suppliers through assessment questionnaires. These serve to evaluate the sustainability performance of suppliers, allowing Tata Motors to gain insights into their environmental and social practices.In FY 2022-23, we assessed 134 suppliers and 417 Franchise outlets, respectively (2022/2023 Integrated report, page 142).
JLR's  tier 1 suppliers were asked to set a decarbonisation pathway, report transparently and demonstrate progress towards their targets, disclosing their carbon reporting and collaborating with their own supply chain to deliver the same reductions. This requirement was shared with more than 5,000 companies. (2022/2023 Integrated Report, Page 111)</t>
    <phoneticPr fontId="2" type="noConversion"/>
  </si>
  <si>
    <r>
      <t xml:space="preserve">26% </t>
    </r>
    <r>
      <rPr>
        <sz val="12"/>
        <color rgb="FF000000"/>
        <rFont val="Calibri"/>
        <family val="2"/>
      </rPr>
      <t>(Tata Motors)</t>
    </r>
    <phoneticPr fontId="2" type="noConversion"/>
  </si>
  <si>
    <t>100% (JLR)</t>
  </si>
  <si>
    <t>All plants in Europe</t>
  </si>
  <si>
    <t>Renewable electricity introduction rate (global): 20% (2023 Sustainability databook, page 27 and 52).  Continued to maintain 100% renewable electricity introduction rate at all plants in Europe and South America (2023 Sustainability databook, page 41, 52).</t>
    <phoneticPr fontId="2" type="noConversion"/>
  </si>
  <si>
    <t>No specific requirement on the usage of renewable electricity for all suppliers. 
Toyota promoted CO2 emissions reduction activities among major suppliers (2023 Sustainability databook, page 46)and engaged in communication with suppliers in each region and promoted activities in accordance with local conditions (2023 Sustainability databook, page 52).</t>
    <phoneticPr fontId="2" type="noConversion"/>
  </si>
  <si>
    <t>No</t>
    <phoneticPr fontId="2" type="noConversion"/>
  </si>
  <si>
    <t>Several plants in South America</t>
  </si>
  <si>
    <t xml:space="preserve">In 2023, GM's global renewable energy consumption reached 2.2 million MWh, an increase compared to 2022. In addition, the share of the global renewable consumption increased to 39% (2023 Sustainability report, page 15).
</t>
    <phoneticPr fontId="2" type="noConversion"/>
  </si>
  <si>
    <t xml:space="preserve">
No specific requirement on the usage of renewable electricity for all suppliers. 
GM invited all Tier I suppliers to sign our Environmental, Social and Governance (ESG) Partnership Pledge to embrace sustainability in a holistic manner, focusing on ESG practices (Page 4, 79-80). GM encouraged global Tier I suppliers to set carbon reduction goals using the GM Supplier Sustainability Goals Framework and monitored participating global Tier I and Tier II suppliers’ sustainability performance through CDP and EcoVadis (2023 Sustainability report, page 30, 79-80).</t>
    <phoneticPr fontId="2" type="noConversion"/>
  </si>
  <si>
    <t>Several plants in the European Union and South America</t>
  </si>
  <si>
    <t xml:space="preserve">The total renewable energy consumption 1498 GWH = 5393 TJ (2023 ESG book, page 22). Total indirect consumption (total purchased electricity): 24,000 TJ (2023 ESG book, page 141) = approx 22.4%.
Honda is actively introducing renewable energy around the world. More specifically, the Company focuses on installing new power generation facilities, first examining the installation within its premises and then gradually expanding the scope to outside the premises for greater use ofthe facilities (2023 ESG book, page 22). Honda’s business sites across the world used 1,498GWh of power derived from renewable energy sources, such as solar and wind, in FY2023. This is an increase of 694 GWh or 86% over the previous fiscal year (2023 ESG book, page 22).
</t>
    <phoneticPr fontId="2" type="noConversion"/>
  </si>
  <si>
    <t>No specific requirement on the usage of renewable electricity for all suppliers. 
Honda has issued the “Honda Supplier Sustainability Guidelines” to share its approach to sustainability with suppliers worldwide and to promote it in conjunction with them. Based on this guideline, Honda actively promoted sustainable initiatives at its development and manufacturing facilities in cooperation with its suppliers (2023 ESG book, page 89).
Honda performs checks on the status of suppliers’ related initiatives and utilizing sustainability-related check sheets for sub tier suppliers (2023 ESG book, page 91) and distributed a checklist to suppliers requesting independent inspection in order to confirm the status of initiatives relative to the guidelines (2023 ESG book, page 96).
Honda established a system for the integrated management of data on CO2 emissions reduction by suppliers and has been taking part in CDP’s supply chain program. Honda is using these tools to share goals and progress status towards total reduction and to implement the PDCA cycle with suppliers worldwide (ESG book, page 93).</t>
    <phoneticPr fontId="2" type="noConversion"/>
  </si>
  <si>
    <t>Suzuki is proceeding with the installation of solar power facilities at its domestic plants, which it has been working on, and has introduced these facilities on land adjacent to the Sagara Plant (Makinohara) as well as at the Hamamatsu Maisaka-Nishi Solar Power Plant, and Hamamatsu Plant in Japan (2023 sustainability report, page 6 and 48).
Suzuki  also began partly using the Iwata Plant for solar power generation, and intend to continue installing solar power facilities at other plants in the future. Suzuki has also installed two wind power generation facilities at the Kosai Plant and one at its training center (2023 Sustainability report, page 48). At overseas plants, Maruti Suzuki India Limited, Suzuki Motor Gujarat Private Limited, and Suzuki Motorcycle India Private Limited have introduced and are further expanding solar power generation facilities (Sustainability report, page 6 and 48).</t>
    <phoneticPr fontId="2" type="noConversion"/>
  </si>
  <si>
    <t>No specific requirement on the usage of renewable electricity for all suppliers. 
Close cooperation with suppliers based on the Suzuki Green Procurement Guideline (2023 Sustainability report, page 29). Part of the guideline includes efforts to understand the environmental
conservation initiatives of our business partners by conducting research on greenhouse gas emissions and water consumption once a year (2023 Sustainability report, page 86).</t>
    <phoneticPr fontId="2" type="noConversion"/>
  </si>
  <si>
    <r>
      <t xml:space="preserve">70,914 </t>
    </r>
    <r>
      <rPr>
        <sz val="12"/>
        <color rgb="FF000000"/>
        <rFont val="Calibri"/>
        <family val="2"/>
      </rPr>
      <t xml:space="preserve">MWh </t>
    </r>
  </si>
  <si>
    <r>
      <t xml:space="preserve">Plants in Japan and </t>
    </r>
    <r>
      <rPr>
        <sz val="12"/>
        <color rgb="FF000000"/>
        <rFont val="Calibri"/>
        <family val="2"/>
      </rPr>
      <t>India</t>
    </r>
  </si>
  <si>
    <t>Approx 8.2% of renewable electricity (Renewable electricity: 311,033 MWh and Total electricity : 3,772,228 MWh) (2023 ESG Book, page 37).</t>
    <phoneticPr fontId="2" type="noConversion"/>
  </si>
  <si>
    <t>No specific requirement on the usage of renewable electricity for all suppliers. 
Nissan is working to improve suppliers’ environmental performance via the following initiatives: the revision of CO2 emission reduction through value chain, technical standard and regulation revision, supplier environmental data surveys in global (Conducted Nissan’s original survey (CO2, water, waste)) and participated in the CDP supply chain program (2023 ESG Book, page 64)</t>
    <phoneticPr fontId="2" type="noConversion"/>
  </si>
  <si>
    <t>Chang'an Auto Hefei and Hebei bases have built photovoltaic power stations in the plants, which produce green and clean energy. In 2021, a total of 37,672MWh of photovoltaic power was consumed and 32,270 tons of carbon were reduced. The total consumption of green electricity throughout the first half of the year stood at 26 million kWh, with carbon emissions down by 21,000 tons. The planning and construction of photovoltaic plants in Chongqing Lingyao and Yubei New Plant, Nanjing New Plant and Beijing Base are carried out in an orderly manner and on schedule, with an expected new installed capacity of 77 MW, 56 million kWh of new green power per year, and 51,000 tons of new carbon reduction per year (2023 semi-annual report, page 40).</t>
    <phoneticPr fontId="2" type="noConversion"/>
  </si>
  <si>
    <t>No information in the report</t>
  </si>
  <si>
    <t>37,672 MWh</t>
  </si>
  <si>
    <t>Plants in China</t>
  </si>
  <si>
    <t xml:space="preserve">BYD has reshaped its energy structure and switched from electricity to clean energy. BYD have established its own green power supply system by laying solar panels on all the available roofs, and built our own integrated solar energy storage system to guarantee electricity supply for production purpose (2023 BYD CSR Report, page 67)
BYD has voluntarily purchased green electricity certificates and played an active role in the green certificate trading market. In 2022, BYD bought 104,707 GEC green certificates in the Shenzhen-Huizhou region, reducing CO₂ emissions by 91,294 tons. In the future, it will purchase more green certificates. Each Green Certificate represents that 1,000 kWh (1 MWh) of electricity generated from renewable energy has been put on the grid or consumed locally (Page 67)
</t>
    <phoneticPr fontId="2" type="noConversion"/>
  </si>
  <si>
    <t>44,000 MWh</t>
  </si>
  <si>
    <t>Approximately 56% share of renewable electricity was reached on average at global production sites (2023 Survey response). Renault Group has used 100% renewable electricity for the following plants: Tangiers in Morocco, Palencia in Spain, Valladolid in Spain, Seville in Spain, Pitesti in Romania, and Curitiba in Brazil and Envigado in Colombia (2023 Survey Response).</t>
  </si>
  <si>
    <t xml:space="preserve">No specific requirement on the usage of renewable electricity for all suppliers. 
Renault Group continued to conduct assessments via EcoDavis, an internet platform, to assess suppliers’ and subcontractors’ policies and actions relating to environmental, social, and corporate governance and conduct on-site audits of suppliers and subcontractors but did not require all battery suppliers to use 100% renewable electricity in their production (2023 Vigilance Plan Slide Presentation, slide 42).  </t>
    <phoneticPr fontId="2" type="noConversion"/>
  </si>
  <si>
    <t xml:space="preserve">Not disclosed in the 2022 report. Previous report estimated around 30% renewable electricity usage (Survey response).
</t>
    <phoneticPr fontId="2" type="noConversion"/>
  </si>
  <si>
    <t>No specific requirement on the usage of renewable electricity for all suppliers. 
As a key step to decarbonizing our supply chain, Tesla collected GHG data from its suppliers (2022 Impact report, page 147).</t>
    <phoneticPr fontId="2" type="noConversion"/>
  </si>
  <si>
    <t>No specific requirement on the usage of renewable electricity for all suppliers. 
SAIC Motor's new energy vehicles do not solely rely on CATL-SAIC for their battery supply. Other battery companies such as Zhongchuang Zhaohang, Guoxuan High-Tech, Xinwangda, RePT Energy, and Bick are also suppliers for SAIC Motor. (https://libattery.ofweek.com/2023-07/ART-36016-8120-30602277.html)</t>
    <phoneticPr fontId="2" type="noConversion"/>
  </si>
  <si>
    <r>
      <t>276</t>
    </r>
    <r>
      <rPr>
        <sz val="12"/>
        <color rgb="FF000000"/>
        <rFont val="Calibri"/>
        <family val="2"/>
      </rPr>
      <t xml:space="preserve"> MWh</t>
    </r>
  </si>
  <si>
    <t>Great Wall consumed approximately 22% of renewable electricity in 2023 and aimed to increase the utilization of RE (Survey response and 2023 CSR report)</t>
    <phoneticPr fontId="2" type="noConversion"/>
  </si>
  <si>
    <t>Total global electricity consumption FY 2023: 8,790 TJ (approx 2,441,666 MWh) Total global renewable electricity FY 2023: 4,910 MWh. The global amount refers to the amount of renewable energy generated and consumed within the premises of Mazda Motor Corporation, 22 domestic consolidated Group companies and 8 domestic equity-method Group companies, and 14 overseas consolidated Group companies and 3 overseas equity-method Group companies (2023 Sustainability report, page 112).</t>
    <phoneticPr fontId="2" type="noConversion"/>
  </si>
  <si>
    <t>a) Mazda will proceed with CO2 emission reduction activities with logistics companies and suppliers in stages. In Japan, the Company will work on structural reforms in supply chains while expanding the use of carbon-neutral fuels (Page 39)
b) Mazda asks its suppliers to provide it with CO2 emission data in Scope &amp; as well as logistics at the time of delivery to it (Scope 3 Category 1 for Mazda) every year, and set targets together with them to manage the results (Page 54)</t>
  </si>
  <si>
    <r>
      <t xml:space="preserve">4,190 </t>
    </r>
    <r>
      <rPr>
        <sz val="12"/>
        <color rgb="FF000000"/>
        <rFont val="Calibri"/>
        <family val="2"/>
      </rPr>
      <t>MWh</t>
    </r>
  </si>
  <si>
    <t>Plants in Japan</t>
  </si>
  <si>
    <t>One factory, iCAR uses 100% RES (https://www.sohu.com/a/744428682_121485104)</t>
  </si>
  <si>
    <t>Plants in China</t>
    <phoneticPr fontId="2" type="noConversion"/>
  </si>
  <si>
    <t>Recycle</t>
    <phoneticPr fontId="2" type="noConversion"/>
  </si>
  <si>
    <t>Repurpose</t>
    <phoneticPr fontId="2" type="noConversion"/>
  </si>
  <si>
    <t>US</t>
  </si>
  <si>
    <t>Total market coverage</t>
    <phoneticPr fontId="2" type="noConversion"/>
  </si>
  <si>
    <t>An announcement released in December 2023 showed that Changan Automobile and Ganfeng Lithium had signed a "Memorandum of Cooperation". The two parties discussed and negotiated in-depth cooperation in the entire value chain of lithium resource development, lithium salt deep processing, lithium battery research and development, manufacturing and comprehensive recycling of used batteries, and intended to establish a long-term strategic cooperative relationship. The two parties will explore to extend cooperation to the upstream lithium mineral resources, lithium salt deep processing, battery materials, midstream battery manufacturing and downstream waste battery comprehensive recycling, and promote the battery industry full chain strategy cooperate. (https://www.stcn.com/article/detail/1075092.html)</t>
    <phoneticPr fontId="2" type="noConversion"/>
  </si>
  <si>
    <t>Not available in the report.</t>
    <phoneticPr fontId="2" type="noConversion"/>
  </si>
  <si>
    <t xml:space="preserve">Tesla began the operation of battery recycling facility at Gigafactory Nevada and continued to build capacity to recycle manufacturing scrap and end of life batteries to close the loop on battery raw materials (2022 Impact report, page 162).
Further, Tesla deployed equipment to recycle 100% of on-site generated manufacturing scrap across manufacturing facilities. Tesla's battery remanufacturing occurs at its Lathrop, CA facility and Gigafactory New York (2022 Impact report, page 162).
Safe stockpiling for future processing of any materials generated that cannot be immediately processed, enabling an optimization of material streams, equipment parameters, and the validation of new market technologies to recover battery metals at scale. Tesla also collaborated with third-party battery recyclers to ensure batteries do not end up in a landfill (2022 Impact report, page 162).
</t>
    <phoneticPr fontId="2" type="noConversion"/>
  </si>
  <si>
    <t>Hyundai Motor Company will be in charge of creating a system that enables us to obtain large amounts of secondlife batteries through our global sales and service network. Hyundai is establishing an eco-friendly battery circulation system that aims for sustainability through the recycling and reuse of second-life batteries generated from end-of-life EVs (2023 Sustainability report, page 37).
Hyundai is partnering up with Hyundai GLOVIS to use its global logistics network to conduct a business that recovers second-life batteries through ground/marine transportation and reuses the collected second-life batteries for energy storage system (ESS) and Hyundai MOBIS, for remanufacturing business that prolongs the life of batteries by means of new packaging, such as sorting out collected batteries and restoring performance, and inputs them for use. Remanufactured batteries will be used for old electric vehicles and repair (after-sales service) (2023 Sustainability report, page 37).
Hyundai will invest in CCUS and will continue to pursue offsetting activities such as recycling second life batteries for ESS and restoring marine ecosystems (2023 Sustainability report, page 25)
Kia officially launched a TFT to work with group companies to develop a sustainable and eco-friendly battery circulation system (2023 Sustainability report, page 19).
Kia is developing a global network and transport control system to collect used batteries from various locations around the world, including scrap yards and dealerships. These batteries will be transported by Hyundai GLOVIS (2023 Sustainability report, page 19).</t>
    <phoneticPr fontId="2" type="noConversion"/>
  </si>
  <si>
    <t>Hyundai built a 2 MWh ESS and a 300 kWh ESS, respectively, at Ulsan plant and the Gongju plant. Starting in 2023, Hyundai’s various ESS pilot projects based on second-life batteries will be led by Hyundai GLOVIS (2023 Sustainability report, page 37).
In April 2022, in cooperation with the Korea Water Resources Corporation, Hyundai built a new 400 kWh ESS in Busan Eco Delta Smart City, which will be used in the P2P-based power transaction pilot project (2023 Sustainability report, page 37).
Kia made significant progress by signing a contract to supply used batteries to Encore, a startup specializing in reusing waste batteries and a subsidiary of the German rail logistics company Deutsche Bahn. Under this contract, Kia will supply used Soul EV (PS) batteries to Encore for battery pack testing and recycling or use as components for energy storage systems (ESS). As of April 2023, a total of 104 batteries have been collected and supplied to energy solution providers in Europe such as DB Energy and 360 Energie, where they have been repurposed as components for ESS (2023 Sustainability report, page 20).</t>
    <phoneticPr fontId="2" type="noConversion"/>
  </si>
  <si>
    <t>Chery signed a strategic cooperation agreement with Guanghua Technology. The two parties will collaborate on the recycling and processing of used batteries, as well as remanufacturing of battery materials. (https://www.sohu.com/a/294390700_120044724)
Chery planned to invest 70 million yuan for its  battery recycling and repurposing project, which is under construction by its subsidiary, Anhui Jiaqi Energy Technology Co., Ltd.http://www.icbattery.com/news/show-htm-itemid-48030.html</t>
    <phoneticPr fontId="2" type="noConversion"/>
  </si>
  <si>
    <t>BYD formed a strategic partnership with China Tower Corporation for the secondary utilization of batteries. BYD is in partnership with Japan's Itochu Corporation to explore retired batteries' applications in energy storage. To date, over 40 power battery recycling stations have been set up nationwide by BYD (https://pdf.dfcfw.com/pdf/H3_AP202208071576974320_1.pdf?1659951119000.pdf).
GEM Co., Ltd (a major Chinese recycling company) announced  that its battery materials are consistently and stably being incorporated into BYD's supply chain. Looking ahead, GEM is dedicated to maintaining the production of high-quality products and supplying them to premium clients globally (https://m.jiemian.com/article/8678588.html).</t>
    <phoneticPr fontId="2" type="noConversion"/>
  </si>
  <si>
    <t>Some BYD batteries are repurposed through its colab with GEM. In their partnership, BYD and GEM Co., Ltd. have committed to jointly explore a circular business model in the industrial chain. This model encompasses the progression from recycling waste materials to creating new types of battery materials, and ultimately, to their use in energy storage stations.(http://www.xinhuanet.com/finance/2022-01/26/c_1128300756.htm).</t>
    <phoneticPr fontId="2" type="noConversion"/>
  </si>
  <si>
    <r>
      <t>In February 2023, Honeycomb Energy (</t>
    </r>
    <r>
      <rPr>
        <sz val="12"/>
        <color theme="1"/>
        <rFont val="Microsoft YaHei"/>
        <family val="2"/>
        <charset val="134"/>
      </rPr>
      <t>蜂巢能源</t>
    </r>
    <r>
      <rPr>
        <sz val="12"/>
        <color theme="1"/>
        <rFont val="Calibri"/>
        <family val="2"/>
      </rPr>
      <t xml:space="preserve"> GWM hold 70%)'s subsidiary Tengqingqing(</t>
    </r>
    <r>
      <rPr>
        <sz val="12"/>
        <color theme="1"/>
        <rFont val="Microsoft YaHei"/>
        <family val="2"/>
        <charset val="134"/>
      </rPr>
      <t>藤青青</t>
    </r>
    <r>
      <rPr>
        <sz val="12"/>
        <color theme="1"/>
        <rFont val="Calibri"/>
        <family val="2"/>
      </rPr>
      <t>) Renewable Resources and Tianqi Co., Ltd. established a joint venture focused on lithium iron phosphate recycling to address environmental and lithium carbonate supply issues. The project, located in Shangrao, will employ advanced recycling technology to produce lithium carbonate and lithium iron phosphate. The project is expected to officially commence production in the first half of 2024 (https://www.svolt.cn/wap/about_newdal.php?tab=about&amp;VID=190 and http://www.srkfq.gov.cn/srkfq/006/202209/1d79d93fa3bc4f39b3e84d5b58a6e456.shtml).
The Board Secretary of Great Wall Motors, informed "Securities Daily" reporters that the company has established nearly 200 battery recycling sites utilizing 4S dealership resources. (http://www.news.cn/fortune/2022-01/26/c_1128300756.htm).</t>
    </r>
    <phoneticPr fontId="2" type="noConversion"/>
  </si>
  <si>
    <t>Stellantis is implementing collection and treatment procedures for its High-Voltage Batteries (HVB) used in hybrid and electric vehicles sold in Europe and other regions. Stellantis offers longer lifespan mobility to their customers by developing repair and remanufacturing processes. Stellantis is responsible for the recycling of its HVBs and contracts with specific operators selected to collect and recycle HVBs from our plants, research and development sites, dealer network and end-of-life vehicles according to existing local regulations. E-Repair Services are available in France, Germany, Israel, Japan and South Korea and plan to extend to 21 centers, strengthening the presence in Enraged Europe and opening in India and Asia Pacific region. (2023 Sustainability report, page 341).</t>
    <phoneticPr fontId="2" type="noConversion"/>
  </si>
  <si>
    <t>Stellantis is continuing to work on solutions to repurpose for reuse HVBs in non-automotive business in order to use batteries as long as possible before sending them to recycling, prioritizing Second-life activities. In 2023, Stellantis has collaborated with several utility companies and battery integrators by providing Second-life batteries and collaborating with them in designing and creating energy storage facilities. Stellantis is also looking to implement second-gife pilots in Enlarged Europe and North America</t>
    <phoneticPr fontId="2" type="noConversion"/>
  </si>
  <si>
    <t>Geely has built 56 outlets in the recycling network for used power batteries from new energy vehicles in Zhejiang according to the Implementation Plan of New Energy Automobile power battery Recycling Pilots in Zhejiang Province (2023 Geely Group report, page 32).
Geely has set the 2023 pilot goal of extending the responsibility of automobile product manufacturers, and planned to construct 12 recycling contact points in 6 pilot cities, and collaborated with external cooperation units to ultimately form a grid-based recycling system with 3 recycling and dismantling branches as the center and 12 recycling contact points (2023 Geely Group report, page 82).
Jiangxi Yiyuan New Energy Technology Co., Ltd. is a wholly-owned subsidiary of Geely Technology Group, mainly engaged in the research and development and production of lithium iron phosphate materials and the comprehensive utilization of battery recycling (https://m.bjx.com.cn/mnews/20231016/1337160.shtml).
Volvo Cars established regional battery centres in the EU, U.S. and China to maximise battery utilisation, minimise environmental impact and enable circular material flows. Volvo Cars started working with battery recyclers in China to develop battery material closed loops (2023 Sustainability report, page 43 and 161)
Volvo Cars has an established collection system for lithium-ion batteries that come from a hybrid or electric vehicles built by Volvo Cars. The batteries are recycled at special, designated battery recyclers to ensure that they are taken care of in a responsible way (https://www.volvocars.com/intl/v/sustainability/batterydisposal).</t>
    <phoneticPr fontId="2" type="noConversion"/>
  </si>
  <si>
    <t>VW opened the Group’s first pilot facility for recycling high-voltage vehicle batteries at the Salzgitter site at the start of 2021. The objective is industrialized recovery of valuable raw materials such as lithium, nickel, manganese and cobalt in a closed loop and also of aluminum, copper and plastic (2023 Sustainability report, page 86).
VW is actively involved in publicly funded research projects on recycling technologies to optimize the recycling processes even further. These research projects are carried out in collaboration with partners, universities and research institutions throughout Germany and aim to improve and automate individual process steps. One example of this is the research consortium HVBatCycle. The consortium, which was created in 2023, is funded by the German Federal Ministry for Economic Affairs and Climate Action (BMWK) and is set to operate for three years (2023 Sustainability report, page 88-89).</t>
    <phoneticPr fontId="2" type="noConversion"/>
  </si>
  <si>
    <t xml:space="preserve">Batteries are recycled in the pilot facility if they can no longer be used in other ways – for example, in reconditioned form in mobile energy storage systems such as flexible fast-charging stations or charging robots. The facility has been initially designed to recycle up to 3,600 battery systems per year in pilot operation (2023 Sustainability report, page 86). 
Together with Redwood Materials, Volkswagen of America has agreed to set up bins at certain dealerships to collect consumer electronics. The batteries and devices, including cell phones, cordless power tools, electric toothbrushes, wireless headphones and other lithium-ion-powered devices that are collected in the bins, will be sent to Redwood’s Nevada facility to be repurposed as EV batteries (https://media.vw.com/en-us/releases/1736#:~:text=Participating%20Volkswagen%20dealerships%20will%20offer,headphones%2C%20and%20old%20vacuum%20batteries.)
In January 2023, Huayou Recycling and Volkswagen Group China held a cooperation event for the comprehensive utilization of retired power batteries. This repurposed energy storage system, developed under the collaboration between Huayou Recycling and Volkswagen Group China, will initially be deployed in Huayou Cobalt's industrial park. Subsequently, the plan is to expand its use to Volkswagen Group's production bases in China (https://www.huayou.com/en/news/corporate-news/64).
</t>
    <phoneticPr fontId="2" type="noConversion"/>
  </si>
  <si>
    <t>Renault Group announced the creation of a new entity, The Future Is NEUTRAL, to deliver on its pledge to move deeper into the circular economy and further on its path to resource neutrality. This new entity combines the Group’s and its partners’ expertise to provide closed-loop recycling solutions at every stage of a vehicle’s life, i.e. from the supply of parts and raw materials through to production, use and end of life (2022-2023 Integrated Report, page 39). 
Renault Group launched the Refactory in Flins to support the site's transformation towards activities linked to the circular economy. Gaia, a subsidiary based on the site, specializes in repairing batteries to extend their life on board the vehicle (https://www.renaultgroup.com/en/news-on-air/news/batteries-and-electric-vehicles-everything-you-need-to-know-about-renault-groups-activities-in-france/).</t>
    <phoneticPr fontId="2" type="noConversion"/>
  </si>
  <si>
    <t>Renault is in operation to repurpose batteries through its entity Mobilize for battery second-life activities in energy storage applications (2023 Governance roadmap presentation, slide 40 and 2023 Survey response).</t>
    <phoneticPr fontId="2" type="noConversion"/>
  </si>
  <si>
    <r>
      <t>Mercedes-Benz is building its own CO2-neutral on the balance sheet pilot plant for the recycling of lithium-ion battery systems at its Kuppenheim location. For this purpose, the Group has founded LICULAR GmbH as a wholly-owned subsidiary (2023 Sustainability report, page 108). Following this example, Mercedes-Benz AG is planning to set up a closed-loop recycling system for batteries in China and the USA together with partners (2023 Sustainability report, page 108)
By the end of 2023, the new battery recycling factory in Kuppenheim, Germany, will start ramping up operations. In China, Mercedes-Benz is also working with strong partners to close the loop of recyclable materials on an industrial scale (https://group.mercedes-benz.com/investors/events/2023-mercedes-benz-group-esg-conference.html).
In 2023 February, GEM Co., Ltd. (</t>
    </r>
    <r>
      <rPr>
        <sz val="12"/>
        <color theme="1"/>
        <rFont val="等线"/>
        <family val="2"/>
        <charset val="134"/>
      </rPr>
      <t>格林美</t>
    </r>
    <r>
      <rPr>
        <sz val="12"/>
        <color theme="1"/>
        <rFont val="Calibri"/>
        <family val="2"/>
      </rPr>
      <t xml:space="preserve"> 002340) announced that it had signed a Memorandum of Understanding (MoU) with Mercedes-Benz China, CATL (300750), and Hunan Bangpu </t>
    </r>
    <r>
      <rPr>
        <sz val="12"/>
        <color theme="1"/>
        <rFont val="等线"/>
        <family val="2"/>
        <charset val="134"/>
      </rPr>
      <t>湖南邦普</t>
    </r>
    <r>
      <rPr>
        <sz val="12"/>
        <color theme="1"/>
        <rFont val="Calibri"/>
        <family val="2"/>
      </rPr>
      <t>, for a battery recycling project. According to the announcement, retired and waste power batteries from Mercedes-Benz China will be processed by GEM and Hunan Bangpu. The key raw materials recovered through advanced recycling technologies, such as nickel, cobalt, manganese, and lithium, will be re-supplied to CATL's supply chain and used to produce new batteries for Mercedes-Benz vehicles. (https://libattery.ofweek.com/2023-03/ART-36007-8120-30589055.html).</t>
    </r>
    <phoneticPr fontId="2" type="noConversion"/>
  </si>
  <si>
    <r>
      <t>Mercedes-Benz Energy GmbH, based in Kamenz, Germany, is a subsidiary of Mercedes-Benz AG and is responsible for the development of innovative energy storage solutions like this. These use the automotive battery technology employed in the electric and hybrid vehicles from Mercedes-Benz and smart (2023 Sustainability report, page 108). One of the key areas of focus is the procurement and operation of second-life batteries, battery modules and battery management components, along with specification services for energy storage units (Page 133)
Mercedes</t>
    </r>
    <r>
      <rPr>
        <sz val="12"/>
        <rFont val="Cambria Math"/>
        <family val="2"/>
        <charset val="1"/>
      </rPr>
      <t>‑</t>
    </r>
    <r>
      <rPr>
        <sz val="12"/>
        <rFont val="Calibri"/>
        <family val="2"/>
      </rPr>
      <t>Benz with its wholly owned subsidiary Mercedes-Benz Energy GmbH and Beijing Electric Vehicle Co., Ltd. (BJEV), a subsidiary of the BAIC Group, have entered into a development partnership, intending to establish second-life energy storage systems in China in the future. Together, Mercedes-Benz Energy and Beijing Electric Vehicle plan to set up the first second-life energy storage unit in Beijing, making use of retired BJEV electric car batteries. This project will serve as the basis for other types of cooperation in the future (https://www.mercedes-benz.com/en/mercedes-benz-energy/media/)</t>
    </r>
    <phoneticPr fontId="2" type="noConversion"/>
  </si>
  <si>
    <r>
      <t>BMW is working together with a local recycling company that dismantles the batteries and recovers a high percentage of the raw materials from the battery cells using an innovative technology. These secondary raw materials are intended to be used to produce new battery cells for the BMW Group (2023 Sustainability report, page 106). BMW Group has partnered with German recycling specialist, Duesenfeld, to develop a method that can achieve a recycling rate of up to 96% of the materials – including graphite and electrolytes (2023 Survey response).
BMW is currently setting up a closed cycle in China with the aim of reusing the raw materials nickel, lithium and cobalt from end-of-life high-voltage batteries. The batteries originate primarily from fully and partially electrified development vehicles, test facilities, production scrap and are reused in forklifts (2023 Sustainability report, page 106). 
BMW Group and Huayou Recycling announced their collaboration in establishing an innovative cooperation model for closed-loop recycling and cascading use of power battery materials. This partnership marks the first time that the raw materials of BMW's domestically produced electric vehicle power batteries in China are recycled in a closed-loop system. Under the agreement, BMW and Huayou will cooperate in disassembling power batteries. The closed-loop recycling model allows for a high recovery rate of core materials, which will be 100% returned to BMW's own supply chain. (https://www.huayou.com/news/798.html).</t>
    </r>
    <r>
      <rPr>
        <sz val="12"/>
        <color theme="7"/>
        <rFont val="Calibri"/>
        <family val="2"/>
      </rPr>
      <t xml:space="preserve">
</t>
    </r>
    <phoneticPr fontId="2" type="noConversion"/>
  </si>
  <si>
    <t>Cooperation arrangements are in place between BMW Group and SOLARWATT GmbH, Dresden, within the field of electric mobility. The focus of this collaboration is on the provision of complete photovoltaic solutions for rooftop systems and carports to BMW i customers. In addition, SOLARWATT GmbH purchases battery cells and related components for home battery storage applications as part of a supply project (2023 Sustainability report, page 222)
The BMW Group has been involved in various initiator projects for the further use and recycling of high-voltage batteries since 2013. Prominent examples include the battery storage systems at the BMW Group plant in Leipzig and at the ferry terminal in Hamburg (2023 Survey response)
Since 2020, BMW and Huayou Recycling have investigated the recyclability of HVBs and have reused HVBs to power forklifts. They have deepened this cooperation with a project to reuse HVBs in different scenarios across the BMW Group China’s Shenyang manufacturing base. Forklifts, pallet-lifting trucks and stationary energy storage are all potential destinations for our retired HVBs, and both parties continue to investigate further applications (BMW Brilliance, page 35)</t>
    <phoneticPr fontId="2" type="noConversion"/>
  </si>
  <si>
    <t xml:space="preserve">Ford is collaborating with Redwood Materials to integrate battery recycling into our domestic battery strategy. Redwood’s recycling technology can recover, on average, more than 95% of strategic materials such as nickel, cobalt, lithium, and copper. These materials can be recycled and remanufactured in a closed-loop where Redwood produces anode copper foil and cathode active materials for future battery production. In the long-term, Ford and Redwood plan to work together on the best approach to collect and disassemble end-of-life batteries from Ford’s electric vehicles for recycling and remanufacturing to help reduce the cost associated with battery components and raw materials to manufacture all-new batteries (2024 Integrated report, page 97). 
Ford has announced that it has officially entered the European market. Redwood Materials has fast-tracked its presence there by acquiring Redux Recycling GmbH, the region’s leading lithium-ion battery recycler, which has a facility located in Bremerhaven, Germany. (https://fordauthority.com/2023/09/ford-backed-redwood-materials-enters-european-market/)
</t>
    <phoneticPr fontId="2" type="noConversion"/>
  </si>
  <si>
    <t>SAIC partnered with PetroCHina and CATL for form Shanghai Jieneng Zhidian New Energy Technology Co, which engage in battery leasing, swapping, repurposing (https://new.qq.com/rain/a/20220926A04KHM00).
SAIC Motor's first power battery cascade utilization project has been successfully implemented (https://finance.sina.com.cn/tech/csj/2022-10-17/doc-imqqsmrp2822163.shtml).</t>
    <phoneticPr fontId="2" type="noConversion"/>
  </si>
  <si>
    <t>GM is working with cell and cathode manufacturers to identify global recycling partners and establish pathways for recycled material from our manufacturing battery scrap and warranty returns to reenter EV supply chains in a way that is environmentally and technologically sound. GM is supporting the development of recycling and recycled material reuse in new cells through a collaboration with recycling companies and the Department of Energy’s U.S. Advanced Battery Consortium (2023 Sustainability report, page 45).
GM has a longstanding collaboration with Cirba Solutions, which handles dismantling and recycling components, as well as materials used in our EV batteries. Cirba also allows employees to drop off batteries at designated recycling points at certain GM facilities (2023 Sustainability report, page 45)..
In 2022, GM Ventures made a strategic investment in Lithion, a Québec-based battery recycling company. Lithion’s technology creates opportunities to recover raw materials. Having commissioned an industrial-scale demonstration plant in January 2020, Lithion will start commercial recycling operations in 2023. This new facility will be able to process 7,500 metric tons of lithium-ion batteries a year (2023 Sustainability report, page 45).</t>
    <phoneticPr fontId="2" type="noConversion"/>
  </si>
  <si>
    <t>In Japan, the Lexus Battery 3R Program has begun for Lexus BEVs. Customers who purchase a newBEV will receive a partial refund as a contribution to the 3R battery program when they trade in, buy back, or return the vehicle on a hire-purchase agreement at a Lexus dealership (2023 Sustainability databook, page 31).
Toyota Motor North America (TMNA) is in collaboration with Redwood Materials in North America on a verification project focusing on the collection, evaluation, and recycling of lithium-ion and nickel-metal hydride batteries (2023 Sustainability databook, page 53). In November 2023, TMNA and Redwood Materials announced an expanded recycling agreement that aims to create pathways for automotive batteries used EVs that have reached the end of their life. The plan includes an agreement for Toyota to source Cathode Active Material (CAM) and Anode copper foil from Redwood’s recycling activities for Toyota’s future, new automotive battery production (Toyota Pressroom, November 2023). (https://pressroom.toyota.com/toyota-and-redwood-materials-agree-to-battery-recycling-materials-procurement/). 
Further, TMNA announced in December 2023 that it is expanding its battery recycling network with a new collaboration with Cirba Solutions, to expand Toyota’s battery recycling network and optimizing its logistics network for end-of-life electrified vehicle battery collection, including those from hybrid (HEV), plug-in hybrid (PHEV) and battery electric vehicles (BEV) in the U.S. (Toyota Global Newsroom, December 2023). (https://pressroom.toyota.com/cirba-solutions-helps-toyota-expand-battery-recycling-network-to-nationwide-program/)</t>
    <phoneticPr fontId="2" type="noConversion"/>
  </si>
  <si>
    <t>In Japan, Toyota collaborated with JERA Co., Inc. to build the world’s first large-capacity sweep energy storage system from reused EV batteries. Operations have already commenced including connection to the power distribution system of the Yokkaichi Thermal Power Station (2023 Sustainability databook, page 53). 
Toyota collaborated with Tokyo Electric Power Company Holdings to develop a stationary storage battery system using multiple electric vehicle storage batteries linked together. This system will be established at the Eurus Tashirotai Wind Farm operated by Toyota Tsusho Corporation and Eurus Energy Holdings Corporation, and trial operation is scheduled to begin in FY2023 (2023 Sustainability databook, page 53).</t>
    <phoneticPr fontId="2" type="noConversion"/>
  </si>
  <si>
    <t>Honda Motor Europe is expanding its battery recycling partnership with SNAM (Société Nouvelle d’Affinage des Métaux) to advance the sustainable usability of its end-of-life traction batteries. The pan-European arrangement will see SNAM collect and recycle batteries from Honda's increasing number of hybrid and electric vehicles and either potentially prepare them for 'second-life' renewable energy storage uses or extract valuable materials for recycling if they are not suitable for that purpose  (Honda UK news room website).</t>
    <phoneticPr fontId="2" type="noConversion"/>
  </si>
  <si>
    <t>Nissan's 4R Energy Corporation, established together with Sumitomo Corporation in 2010, has promoted the development of technologies for the reuse of used batteries at its plant in the town of Namie, Fukushima Prefecture. Nissan 4R Energy is building a business model in which used batteries collected from the market are sorted according to their condition and performance and supplied to various secondary users, passing on the value of reused batteries to customers (2023 Sustainability report, page 34)</t>
    <phoneticPr fontId="2" type="noConversion"/>
  </si>
  <si>
    <t xml:space="preserve">Nissan's 4R Energy is actively engaged in the development and production of various battery storage systems built with used Nissan LEAF batteries at the Namie facility. One example of these efforts is the development of stationary power storage systems that reuse batteries used in the Nissan LEAF for the purpose of enhancing resiliency (2023 ESG book, page 52).
Reuse stationary power storage system (40 kWh) has been used in trials for procuring electricity using renewable energy at ten 7-Eleven convenience stores in Kanagawa Prefecture. In addition, recycled lithium-ion storage batteries “EneHand Green (the trading name of 4R Energy)” were developed for East Japan Railway Company (JR East) as a power source for railroad crossing security equipment by reusing modules from the used 24kWh batteries recovered from the Nissan LEAF (2023 ESG book, page 52). Further, Nissan has impleemnted second life EV batteries used as energy storage for ultimate sustainability at the EV6Zero, Nissan's first hub for EV ecocsystem (2023 ESG book, page 56).
</t>
    <phoneticPr fontId="2" type="noConversion"/>
  </si>
  <si>
    <t>No score was given as recycling mechanism was established for hybrid batteries. 
Suzuki has been working to recycle used batteries by establishing a system to collect and properly dispose of used lithium-ion batteries when disposing of those vehicles equipped with lithium-ion batteries (2023 Sustainability report, page 69).
In Europe, Suzuki has built a system for collecting and recycling used lithium-ion batteries according to the EU’s Batteries Directive (2006/66/EC), and the laws, regulations, and conditions of each country. Suzuki launched the Ignis, Swift, Vitara, and the new S-CROSS equipped with the SHVS Mild Hybrid system that uses lithium-ion batteries, and the Vitara equipped with a strong hybrid system (2023 Sustainability report, page 69). In India, Suzuki launched SHVS-equipped models such as Ciaz, Ertiga, and XL6, and  established a collection and recycling system for used lithium-ion batteries (2023 Sustainability report, page 69).</t>
    <phoneticPr fontId="2" type="noConversion"/>
  </si>
  <si>
    <t xml:space="preserve">No score was given as repurposing mechanism was established for hybrid batteries. 
Suzuki to develop batteries for electricity storage systems with ELIIY Power. The two companies began their partnership in 2012. Under the newly signed agreement, the carmaker will invest an additional ¥10 billion in ELIIY Power. The investment of Suzuki in ELIIY Power will be primarily used for capital investments and collaborative development. Further Suzuki and ELIIY Power decided to work together to create lithium-ion batteries that can be used in electricity storage systems and various mobility applications. </t>
    <phoneticPr fontId="2" type="noConversion"/>
  </si>
  <si>
    <t>Mazda is committed to collecting lithium-ion batteries installed in vehicles launched in and after October 2012 through the LiB Joint Collection System of Japan Auto Recycling Partnership, Ltd. Mazda also independently collects nickel-metal hydride batteries installed in the Axela (Mazda3 overseas) Hybrid (launched in November 2013 (2023 Sustainability report, page 29)</t>
    <phoneticPr fontId="2" type="noConversion"/>
  </si>
  <si>
    <t>Volvo cars (B)</t>
  </si>
  <si>
    <t>JLR (B)</t>
  </si>
  <si>
    <t>Recycling</t>
    <phoneticPr fontId="2" type="noConversion"/>
  </si>
  <si>
    <t>Score</t>
    <phoneticPr fontId="2" type="noConversion"/>
  </si>
  <si>
    <t>Repurposing</t>
    <phoneticPr fontId="2" type="noConversion"/>
  </si>
  <si>
    <t>Brand</t>
  </si>
  <si>
    <t>Region</t>
  </si>
  <si>
    <t>Sales share target</t>
    <phoneticPr fontId="2" type="noConversion"/>
  </si>
  <si>
    <t>Vehicle category</t>
    <phoneticPr fontId="2" type="noConversion"/>
  </si>
  <si>
    <t>Year</t>
    <phoneticPr fontId="2" type="noConversion"/>
  </si>
  <si>
    <t>Propulsion type</t>
    <phoneticPr fontId="2" type="noConversion"/>
  </si>
  <si>
    <t>ZEV adjustment</t>
    <phoneticPr fontId="2" type="noConversion"/>
  </si>
  <si>
    <t>Eligible sales</t>
  </si>
  <si>
    <t>Global LDV sales</t>
    <phoneticPr fontId="2" type="noConversion"/>
  </si>
  <si>
    <t>Source link</t>
    <phoneticPr fontId="2" type="noConversion"/>
  </si>
  <si>
    <t>PC+LCV</t>
    <phoneticPr fontId="2" type="noConversion"/>
  </si>
  <si>
    <t>/</t>
    <phoneticPr fontId="2" type="noConversion"/>
  </si>
  <si>
    <t>ZEV, PHEV</t>
  </si>
  <si>
    <t>https://www1.hkexnews.hk/listedco/listconews/sehk/2022/0403/2022040300031.pdf</t>
  </si>
  <si>
    <t>PC</t>
  </si>
  <si>
    <t>https://www.stellantis.com/content/dam/stellantis-corporate/sustainability/csr-disclosure/stellantis/2023/Stellantis-2023-CSR-Report.pdf</t>
  </si>
  <si>
    <t>Leading markets</t>
  </si>
  <si>
    <t>ZEV, PHEV</t>
    <phoneticPr fontId="2" type="noConversion"/>
  </si>
  <si>
    <t>https://group.mercedes-benz.com/documents/sustainability/reports/mercedes-benz-sustainability-report-2023.pdf</t>
  </si>
  <si>
    <t>https://www.chinaventure.com.cn/news/110-20230413-374660.htm</t>
    <phoneticPr fontId="2" type="noConversion"/>
  </si>
  <si>
    <t>Volvo Cars</t>
    <phoneticPr fontId="2" type="noConversion"/>
  </si>
  <si>
    <t>https://www.volvocars.com/hk/news/corporate/our2023-annual-and-sustainability-report-is-here/</t>
  </si>
  <si>
    <t>https://www1.hkexnews.hk/listedco/listconews/sehk/2024/0426/2024042600276_c.pdf</t>
  </si>
  <si>
    <t>ZEV</t>
    <phoneticPr fontId="2" type="noConversion"/>
  </si>
  <si>
    <t>https://www.gm.com/content/dam/company/docs/us/en/gmcom/company/GM_2023_SR.pdf</t>
  </si>
  <si>
    <t>https://www.renaultgroup.com/wp-content/uploads/2023/04/governance-roadshow-presentation_april-2023.pdf</t>
  </si>
  <si>
    <t>Others</t>
  </si>
  <si>
    <t>/</t>
  </si>
  <si>
    <t>https://www.bmwgroup.com/content/dam/grpw/websites/bmwgroup_com/ir/downloads/en/2024/bericht/BMW-Group-Report-2023-en.pdf</t>
  </si>
  <si>
    <t>Roll-Royce</t>
  </si>
  <si>
    <t>VW (B)</t>
    <phoneticPr fontId="2" type="noConversion"/>
  </si>
  <si>
    <t>https://www.volkswagen-group.com/en/publications/more/group-sustainability-report-2023-2674</t>
  </si>
  <si>
    <t>U.S.</t>
    <phoneticPr fontId="2" type="noConversion"/>
  </si>
  <si>
    <t>Global (excl. China)</t>
    <phoneticPr fontId="2" type="noConversion"/>
  </si>
  <si>
    <t>https://insideevs.com/news/516332/audi-2033-electric-except-china/</t>
  </si>
  <si>
    <t>https://www.skoda-storyboard.com/en/skoda-world/next-level-strategy-2030/</t>
  </si>
  <si>
    <t>https://www.volkswagenag.com/en/news/2020/11/BENTLEY-MOTORSOUTLINES-BEYOND100-STRATEGY-TARGETING-SUSTAINABLE-LUXURY-MOBILITY-LEADERSHIP.html</t>
  </si>
  <si>
    <t xml:space="preserve">https://newsroom.porsche.com/en/2022/company/porsche-annual-press-conference-financial-year-2021-annual-and-sustainability-report-27739.html </t>
  </si>
  <si>
    <t>https://corporate.ford.com/content/dam/corporate/us/en-us/documents/reports/2024-integrated-sustainability-and-financial-report.pdf</t>
  </si>
  <si>
    <t>https://finance.sina.com.cn/chanjing/cskb/2022-03-26/doc-imcwiwss8268247.shtml</t>
    <phoneticPr fontId="2" type="noConversion"/>
  </si>
  <si>
    <t>https://www.sohu.com/a/680609514_121666514</t>
    <phoneticPr fontId="2" type="noConversion"/>
  </si>
  <si>
    <t>PC</t>
    <phoneticPr fontId="2" type="noConversion"/>
  </si>
  <si>
    <t>https://www.tatamotors.com/wp-content/uploads/2023/10/annual-report-2022-2023.pdf</t>
  </si>
  <si>
    <t>https://global.honda/sustainability/cq_img/report/pdf/2022/Honda-SR-2022-en-all.pdf</t>
    <phoneticPr fontId="2" type="noConversion"/>
  </si>
  <si>
    <t>https://www.sohu.com/a/660997648_99954369;https://m.jiemian.com/article/5980333.html</t>
    <phoneticPr fontId="2" type="noConversion"/>
  </si>
  <si>
    <t>Hyundai</t>
  </si>
  <si>
    <t>https://www.hyundai.com/worldwide/en/company/sustainability/sustainability-report</t>
  </si>
  <si>
    <t>Kia</t>
  </si>
  <si>
    <t>https://worldwide.kia.com/int/company/sustainability/sustainability-report</t>
  </si>
  <si>
    <t>https://www.bloomberg.com/news/articles/2023-04-07/koji-sato-teases-toyota-ev-strategy-in-first-appearance-as-ceo</t>
    <phoneticPr fontId="2" type="noConversion"/>
  </si>
  <si>
    <t>https://www.globalsuzuki.com/corporate/environmental/report/pdf/2023_enve_all.pdf</t>
  </si>
  <si>
    <t>ZEV,Hybrid</t>
    <phoneticPr fontId="2" type="noConversion"/>
  </si>
  <si>
    <t>https://www.nissan-global.com/EN/SUSTAINABILITY/LIBRARY/SR/2023/</t>
  </si>
  <si>
    <t>Benchmark</t>
    <phoneticPr fontId="2" type="noConversion"/>
  </si>
  <si>
    <t>Adjustment factor</t>
    <phoneticPr fontId="2" type="noConversion"/>
  </si>
  <si>
    <t>Hybrid</t>
    <phoneticPr fontId="2" type="noConversion"/>
  </si>
  <si>
    <t>PHEV adjustment factor</t>
    <phoneticPr fontId="2" type="noConversion"/>
  </si>
  <si>
    <t>Utility factor</t>
    <phoneticPr fontId="2" type="noConversion"/>
  </si>
  <si>
    <t>PHEV eq</t>
    <phoneticPr fontId="2" type="noConversion"/>
  </si>
  <si>
    <t>ZEV multiplier</t>
    <phoneticPr fontId="2" type="noConversion"/>
  </si>
  <si>
    <t>Summary of ZEV sales and ZEV multiplier from 2023 data</t>
    <phoneticPr fontId="2" type="noConversion"/>
  </si>
  <si>
    <t>Summary of ZEV sales and ZEV multiplier from 2022 data</t>
    <phoneticPr fontId="2" type="noConversion"/>
  </si>
  <si>
    <t xml:space="preserve">Total EV  investment (2023 USD) </t>
  </si>
  <si>
    <t>Total battery raw material investment (2023 USD)</t>
  </si>
  <si>
    <t>Total investment (2023 USD)</t>
  </si>
  <si>
    <t xml:space="preserve">Total investment (2023 USD) </t>
    <phoneticPr fontId="2" type="noConversion"/>
  </si>
  <si>
    <t>LDV sales average (2022 and 2023)</t>
    <phoneticPr fontId="3" type="noConversion"/>
  </si>
  <si>
    <t>Total investment per vehicle (2023 USD)</t>
    <phoneticPr fontId="3" type="noConversion"/>
  </si>
  <si>
    <t>Total infrastructure investment (2023 USD)</t>
    <phoneticPr fontId="3" type="noConversion"/>
  </si>
  <si>
    <t>Infrastructure investment per vehicle</t>
    <phoneticPr fontId="2" type="noConversion"/>
  </si>
  <si>
    <t>Share of infrastructure investment per total EV investment</t>
    <phoneticPr fontId="2" type="noConversion"/>
  </si>
  <si>
    <t>PHEV UF (Global)</t>
    <phoneticPr fontId="2" type="noConversion"/>
  </si>
  <si>
    <t>PHEVeq</t>
  </si>
  <si>
    <t>ZEVeq</t>
    <phoneticPr fontId="2" type="noConversion"/>
  </si>
  <si>
    <t>PHEV UF</t>
  </si>
  <si>
    <t>Total LDV</t>
  </si>
  <si>
    <t>Mercedes-Benz</t>
    <phoneticPr fontId="3" type="noConversion"/>
  </si>
  <si>
    <t>Ford</t>
    <phoneticPr fontId="3" type="noConversion"/>
  </si>
  <si>
    <t>Source: Atlas EV Hub, OEM announcements and press release.</t>
    <phoneticPr fontId="2" type="noConversion"/>
  </si>
  <si>
    <t>Total battery raw material investment</t>
    <phoneticPr fontId="2" type="noConversion"/>
  </si>
  <si>
    <t>Total charging infrastructure investment</t>
    <phoneticPr fontId="2" type="noConversion"/>
  </si>
  <si>
    <t>Total mineral investment</t>
    <phoneticPr fontId="2" type="noConversion"/>
  </si>
  <si>
    <t>Total mineral investment (discounted)</t>
    <phoneticPr fontId="2" type="noConversion"/>
  </si>
  <si>
    <t>Annual mineral investment</t>
    <phoneticPr fontId="2" type="noConversion"/>
  </si>
  <si>
    <t>Investment announcement</t>
    <phoneticPr fontId="2" type="noConversion"/>
  </si>
  <si>
    <t>Investment announcement (2023 USD)</t>
    <phoneticPr fontId="2" type="noConversion"/>
  </si>
  <si>
    <t>Annual investment (over 10 year period)</t>
    <phoneticPr fontId="2" type="noConversion"/>
  </si>
  <si>
    <t>Source: OEM reports, official press releases, news</t>
    <phoneticPr fontId="2" type="noConversion"/>
  </si>
  <si>
    <t>??</t>
  </si>
  <si>
    <t>% Fixed based salary</t>
    <phoneticPr fontId="2" type="noConversion"/>
  </si>
  <si>
    <t>% short-term</t>
    <phoneticPr fontId="2" type="noConversion"/>
  </si>
  <si>
    <t>% long-term</t>
    <phoneticPr fontId="2" type="noConversion"/>
  </si>
  <si>
    <t>% others</t>
    <phoneticPr fontId="2" type="noConversion"/>
  </si>
  <si>
    <t>% EV</t>
    <phoneticPr fontId="2" type="noConversion"/>
  </si>
  <si>
    <t>% CO2</t>
    <phoneticPr fontId="2" type="noConversion"/>
  </si>
  <si>
    <t>% incentive related to EV</t>
  </si>
  <si>
    <t>ZEV share (%)</t>
    <phoneticPr fontId="2" type="noConversion"/>
  </si>
  <si>
    <t>Source</t>
    <phoneticPr fontId="2" type="noConversion"/>
  </si>
  <si>
    <t>https://ir.tesla.com/sec-filings#groups=proxyfilings&amp;list_id=tcl-list-1&amp;page=0&amp;years=2023</t>
    <phoneticPr fontId="2" type="noConversion"/>
  </si>
  <si>
    <t>https://www.stellantis.com/content/dam/stellantis-corporate/investors/financial-reports/Stellantis-NV-20221231-Annual-Report.pdf</t>
    <phoneticPr fontId="2" type="noConversion"/>
  </si>
  <si>
    <t>https://www.bmwgroup.com/en/download-centre.html</t>
  </si>
  <si>
    <t>https://investor.gm.com/static-files/b64a3a95-3f28-41e5-b43f-afc8a50c7ce6</t>
    <phoneticPr fontId="2" type="noConversion"/>
  </si>
  <si>
    <t>https://www.renaultgroup.com/wp-content/uploads/2023/03/bods-release-on-2022-and-2023-compensation-of-the-corporate-officers.pdf</t>
    <phoneticPr fontId="2" type="noConversion"/>
  </si>
  <si>
    <t>https://group.mercedes-benz.com/dokumente/investoren/praesentationen/mercedes-benz-ir-esg23-presentation-ola-kaellenius.pdf</t>
    <phoneticPr fontId="2" type="noConversion"/>
  </si>
  <si>
    <t>https://corporate.ford.com/social-impact/sustainability/integrated-report-additional-documents.html</t>
    <phoneticPr fontId="2" type="noConversion"/>
  </si>
  <si>
    <t>https://www.volkswagen-group.com/en/publications/more/remuneration-report-2023-2683</t>
  </si>
  <si>
    <t>https://www.nissan-global.com/EN/IR/LIBRARY/FR/2022/ASSETS/PDF/fr2022.pdf</t>
    <phoneticPr fontId="2" type="noConversion"/>
  </si>
  <si>
    <t>https://investors.volvocars.com/en/results-and-reports</t>
    <phoneticPr fontId="2" type="noConversion"/>
  </si>
  <si>
    <t>JLR</t>
    <phoneticPr fontId="2" type="noConversion"/>
  </si>
  <si>
    <t>https://www.jaguarlandrover.com/annual-report-2023</t>
    <phoneticPr fontId="2" type="noConversion"/>
  </si>
  <si>
    <t>https://global.toyota/pages/global_toyota/ir/library/sec/20-F_202303_final.pdf#page=110</t>
    <phoneticPr fontId="2" type="noConversion"/>
  </si>
  <si>
    <t>https://global.honda/content/dam/site/global-en/investors/cq_img/library/form_20-f/FY202303_form20f_e.pdf
https://global.honda/en/sustainability/integratedreport/pdf/Honda_Report_2023-en-all.pdf?utm_source=top&amp;utm_medium=link&amp;utm_campaign=integratedreport2023&amp;utm_content=Honda_Report_2023-en-all</t>
    <phoneticPr fontId="2" type="noConversion"/>
  </si>
  <si>
    <t>https://www.globalsuzuki.com/ir/library/annualreport/</t>
    <phoneticPr fontId="2" type="noConversion"/>
  </si>
  <si>
    <t xml:space="preserve">https://www.mazda.com/en/investors/library/annual/ </t>
    <phoneticPr fontId="2" type="noConversion"/>
  </si>
  <si>
    <t>Adjustment</t>
    <phoneticPr fontId="2" type="noConversion"/>
  </si>
  <si>
    <t>Base salary/fixed</t>
    <phoneticPr fontId="2" type="noConversion"/>
  </si>
  <si>
    <t>STI/annual bonus</t>
    <phoneticPr fontId="2" type="noConversion"/>
  </si>
  <si>
    <t>LTI/share-based</t>
    <phoneticPr fontId="2" type="noConversion"/>
  </si>
  <si>
    <t>Other benefits</t>
    <phoneticPr fontId="2" type="noConversion"/>
  </si>
  <si>
    <t>Other bonuses</t>
    <phoneticPr fontId="2" type="noConversion"/>
  </si>
  <si>
    <t>Total in local currency</t>
    <phoneticPr fontId="2" type="noConversion"/>
  </si>
  <si>
    <t>Notes</t>
    <phoneticPr fontId="2" type="noConversion"/>
  </si>
  <si>
    <t>Target compensation (Chair)</t>
    <phoneticPr fontId="2" type="noConversion"/>
  </si>
  <si>
    <t xml:space="preserve">2022 Remuneration Report, page 3-4 </t>
    <phoneticPr fontId="2" type="noConversion"/>
  </si>
  <si>
    <t>Target compensation (Chair and CEO)</t>
    <phoneticPr fontId="2" type="noConversion"/>
  </si>
  <si>
    <t>2023 Proxy statement, page 65</t>
    <phoneticPr fontId="2" type="noConversion"/>
  </si>
  <si>
    <t>Actual compensation in 2022 (CEO)</t>
    <phoneticPr fontId="2" type="noConversion"/>
  </si>
  <si>
    <t>2022 Annual Report, page 178</t>
    <phoneticPr fontId="2" type="noConversion"/>
  </si>
  <si>
    <t>Target compensation (CEO and President)</t>
    <phoneticPr fontId="2" type="noConversion"/>
  </si>
  <si>
    <t>2023 Proxy Statement, page 52</t>
    <phoneticPr fontId="2" type="noConversion"/>
  </si>
  <si>
    <t>Target compensation (Executive director)</t>
    <phoneticPr fontId="2" type="noConversion"/>
  </si>
  <si>
    <t>2023 Financial Information Report, page 75</t>
    <phoneticPr fontId="2" type="noConversion"/>
  </si>
  <si>
    <t>2022 Annual report, page 267 and 273</t>
    <phoneticPr fontId="2" type="noConversion"/>
  </si>
  <si>
    <t>2022 Remuneration Report, page 7</t>
    <phoneticPr fontId="2" type="noConversion"/>
  </si>
  <si>
    <t>Target compensation (CEO)</t>
    <phoneticPr fontId="2" type="noConversion"/>
  </si>
  <si>
    <t>Board of Directors Release for 2023 Executive Compensation, page 8</t>
    <phoneticPr fontId="2" type="noConversion"/>
  </si>
  <si>
    <t>Actual compensation in 2023 (CEO). The long term amount includes STVP and also other additional short term variable pay in accordance with individual agreements. </t>
    <phoneticPr fontId="2" type="noConversion"/>
  </si>
  <si>
    <t>2023 Annual Report, page 94</t>
  </si>
  <si>
    <t>Target compensation (CEO/President)</t>
    <phoneticPr fontId="2" type="noConversion"/>
  </si>
  <si>
    <t>2023 Annual Report, page 61</t>
    <phoneticPr fontId="2" type="noConversion"/>
  </si>
  <si>
    <t>CS</t>
  </si>
  <si>
    <t>Summary tab</t>
  </si>
  <si>
    <t>Report</t>
  </si>
  <si>
    <t>Chang'an</t>
  </si>
  <si>
    <t xml:space="preserve">The tab provides the underlying information and data on ZEV investment, investment in raw materials and investment in infrastructure (charging), ZEV multiplier, and LDV sales to calculate the ZEV investment per vehicle sold and the scoring for the ZEV investment metric by manufacturer. </t>
    <phoneticPr fontId="2" type="noConversion"/>
  </si>
  <si>
    <t xml:space="preserve">*This indicates whether the metric has a change in the methodology. N = No, Y = Yes. </t>
    <phoneticPr fontId="2" type="noConversion"/>
  </si>
  <si>
    <t>2023 score</t>
    <phoneticPr fontId="2" type="noConversion"/>
  </si>
  <si>
    <t>Maximum average (sales-weighted)</t>
    <phoneticPr fontId="2" type="noConversion"/>
  </si>
  <si>
    <t>Sales-weighted average driving range (km)</t>
    <phoneticPr fontId="2" type="noConversion"/>
  </si>
  <si>
    <t xml:space="preserve">In 2023, the share of decarbonized electricity used by the Company amounted to 3,671 GWh versus 3,512 GWh in 2022. The percentage of decarbonized electricity resulted in 58%of the electricity consumed versus 55% in 2022, overachieving the initial 2025 target to use 50% of electricity coming from renewable or decarbonized sources. Decarbonized electricity includes renewable electricity (1,832 GWh) representing 29% of the total consumed electricity versus 27% (1,698 GWh) in 2022 (2023 Sustainability report, page 64).
</t>
    <phoneticPr fontId="2" type="noConversion"/>
  </si>
  <si>
    <t>No specific requirement on the usage of renewable electricity for all suppliers.
Stellantis has established a specific CO2 requirement in its sustainable policy guidelines and has included CO2 performance as a criterion in its business award policy for the most intensive CO2 emitting commodities that represent 80 percent of the CO2 footprint of the supply chain (2023 Sustainability report, page 73-75).
Stellantis does not require its suppliers to have 100% renewable energy, but we ask our major suppliers about their carbon net zero commitments (date, scope of emissions covered) and trajectory (2025, 2030 touchpoints). On decarbonized energy, we ask major suppliers to provide the share of decarbonized energy used today, and their targets for 2025, 2030, and 2035 (2023 Survey response).</t>
    <phoneticPr fontId="2" type="noConversion"/>
  </si>
  <si>
    <t>Plant in Brazil, Colombia, Morocco, Romania, and Spain</t>
    <phoneticPr fontId="2" type="noConversion"/>
  </si>
  <si>
    <t>No information in the report</t>
    <phoneticPr fontId="2" type="noConversion"/>
  </si>
  <si>
    <r>
      <t>JLR has partnered with Wykes Engineering Ltd, a leader in the renewable energy sector, to develop one of the largest energy storage systems in the UK to harness solar and wind power using second-life Jaguar I-PACE batteries (https://media.jaguarlandrover.com/news/2023/08/jlr-creates-new-renewable-energy-storage-system-used-car-batteries#:~:text=Once%20the%20battery%20health%20falls,of%20a%20true%20circular%20economy)
JLR partnership with Pramac to develop a portable, zero-emission energy storage unit powered by second-life electric vehicle batteries. Their Off Grid Battery Energy Storage System (ESS) feature lithium</t>
    </r>
    <r>
      <rPr>
        <sz val="12"/>
        <color theme="1"/>
        <rFont val="Cambria Math"/>
        <family val="2"/>
        <charset val="1"/>
      </rPr>
      <t>‑</t>
    </r>
    <r>
      <rPr>
        <sz val="12"/>
        <color theme="1"/>
        <rFont val="Calibri"/>
        <family val="2"/>
      </rPr>
      <t>ion cells from Jaguar I-PACE batteries, supplying zero-emission power where access to the main supply is limited or unavailable. (2022-2023 TM Integrated Report, page 113).</t>
    </r>
    <phoneticPr fontId="2" type="noConversion"/>
  </si>
  <si>
    <t>Tata Motor's recycling operations are carried out at a 3P facility located near Mumbai. The operations, launched at pilot scale, has successfully recycled the spent Li-ion batteries and we endeavor to scale it to recycle 500 tons of spent Li-ion batteries (Tata Chemicals press release) (https://www.tatachemicals.com/Asia/News-room/Press-release/tata-chemicals-lion-battery-operations)
Recycling of EV Cells from Obsolete Vehicles at Scale (RECOVAS). RECOVAS offers the potential for a new circular supply  chain for electric vehicle batteries in the UK (2022-2023 TM Integrated Report, page 113).</t>
    <phoneticPr fontId="2" type="noConversion"/>
  </si>
  <si>
    <t>SAIC had 1674 battery recyling service stations, accounting for 11% of all recyling service station in China in 2021 (https://m.163.com/dy/article/HT09BU2605198SOQ.html). SAIC is implementing pivot program among its PV fleet for battery recycling (2022 CSR, page 22).</t>
    <phoneticPr fontId="2" type="noConversion"/>
  </si>
  <si>
    <t>GM’s CCA Team supports circularity on all GM field-returned propulsion batteries in the United States. These batteries flow through a GM determination process and are either remanufactured, recycled or allocated for second uses (2023 Sustainability report, page 44).</t>
    <phoneticPr fontId="2" type="noConversion"/>
  </si>
  <si>
    <t xml:space="preserve">Honda announced that it has reached a basic agreement with Ascend Elements, Inc., a U.S.-based company with expertise in technologies for recycling of battery resources. The companies intend to collaborate toward stable procurement of resources from recycled lithium-ion batteries in North America necessary for Honda electrified vehicles, including EVs (https://hondanews.com/en-US/releases/release-74895511bca6e7abc42504d7580596b9-honda-and-ascend-elements-reach-basic-agreement-to-collaborate-toward-stable-procurement-of-recycled-lithium-ion-battery-resources-in-north-america)
Honda Motor Europe is expanding its battery recycling partnership with SNAM (Société Nouvelle d’Affinage des Métaux) to advance the sustainable usability of its end-of-life traction batteries. The pan-European arrangement will see SNAM collect and recycle batteries from Honda's increasing number of hybrid and electric vehicles and either potentially prepare them for 'second-life' renewable energy storage uses or extract valuable materials for recycling if they are not suitable for that purpose  (Honda UK news room website). 
Honda and SNAM have worked together since 2013, to ensure the traceability of end-of-life batteries and dispose of them in accordance with European Union environmental standards. The expansion of this agreement will see SNAM collect Lithium-ion and Nickel Metal Hydride (NiMH) batteries from across Honda's dealer network and Authorised Treatment Facilities (ATF) in 22 countries, before analysing how suitable they are for recycling and processing them accordingly  (Honda UK news room website).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</si>
</sst>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44" formatCode="_(&quot;$&quot;* #,##0.00_);_(&quot;$&quot;* \(#,##0.00\);_(&quot;$&quot;* &quot;-&quot;??_);_(@_)"/>
    <numFmt numFmtId="43" formatCode="_(* #,##0.00_);_(* \(#,##0.00\);_(* &quot;-&quot;??_);_(@_)"/>
    <numFmt numFmtId="164" formatCode="_(* #,##0_);_(* \(#,##0\);_(* &quot;-&quot;??_);_(@_)"/>
    <numFmt numFmtId="165" formatCode="0.0%"/>
    <numFmt numFmtId="166" formatCode="0.0"/>
    <numFmt numFmtId="167" formatCode="0.00_);[Red]\(0.00\)"/>
    <numFmt numFmtId="168" formatCode="0.0_);[Red]\(0.0\)"/>
    <numFmt numFmtId="169" formatCode="0_);[Red]\(0\)"/>
    <numFmt numFmtId="170" formatCode="_(* #,##0.0_);_(* \(#,##0.0\);_(* &quot;-&quot;??_);_(@_)"/>
    <numFmt numFmtId="171" formatCode="0.000"/>
    <numFmt numFmtId="172" formatCode="0.000%"/>
    <numFmt numFmtId="173" formatCode="0.000_);[Red]\(0.000\)"/>
    <numFmt numFmtId="174" formatCode="0.00000"/>
    <numFmt numFmtId="175" formatCode="_(* #,##0.000_);_(* \(#,##0.000\);_(* &quot;-&quot;??_);_(@_)"/>
    <numFmt numFmtId="176" formatCode="0;[Red]0"/>
    <numFmt numFmtId="177" formatCode="#,##0_ "/>
    <numFmt numFmtId="178" formatCode="#,##0.0_);[Red]\(#,##0.0\)"/>
  </numFmts>
  <fonts count="69">
    <font>
      <sz val="12"/>
      <color theme="1"/>
      <name val="Calibri"/>
      <family val="2"/>
      <charset val="134"/>
      <scheme val="minor"/>
    </font>
    <font>
      <sz val="12"/>
      <color theme="1"/>
      <name val="Calibri"/>
      <family val="2"/>
      <scheme val="minor"/>
    </font>
    <font>
      <sz val="9"/>
      <name val="Calibri"/>
      <family val="2"/>
      <charset val="134"/>
      <scheme val="minor"/>
    </font>
    <font>
      <sz val="9"/>
      <name val="Calibri"/>
      <family val="3"/>
      <charset val="134"/>
      <scheme val="minor"/>
    </font>
    <font>
      <sz val="12"/>
      <color theme="1"/>
      <name val="Calibri"/>
      <family val="2"/>
      <charset val="134"/>
      <scheme val="minor"/>
    </font>
    <font>
      <b/>
      <sz val="12"/>
      <color theme="1"/>
      <name val="Calibri"/>
      <family val="4"/>
      <charset val="134"/>
      <scheme val="minor"/>
    </font>
    <font>
      <u/>
      <sz val="12"/>
      <color theme="10"/>
      <name val="Calibri"/>
      <family val="2"/>
      <charset val="134"/>
      <scheme val="minor"/>
    </font>
    <font>
      <sz val="12"/>
      <color theme="1"/>
      <name val="Calibri"/>
      <family val="2"/>
    </font>
    <font>
      <b/>
      <sz val="12"/>
      <color theme="1"/>
      <name val="Calibri"/>
      <family val="2"/>
    </font>
    <font>
      <sz val="12"/>
      <name val="Calibri"/>
      <family val="2"/>
    </font>
    <font>
      <sz val="12"/>
      <color theme="5"/>
      <name val="Calibri"/>
      <family val="2"/>
    </font>
    <font>
      <sz val="11"/>
      <color theme="1"/>
      <name val="Calibri"/>
      <family val="2"/>
      <scheme val="minor"/>
    </font>
    <font>
      <u/>
      <sz val="11"/>
      <color theme="10"/>
      <name val="Calibri"/>
      <family val="2"/>
      <scheme val="minor"/>
    </font>
    <font>
      <sz val="11"/>
      <color theme="1"/>
      <name val="Calibri"/>
      <family val="2"/>
    </font>
    <font>
      <b/>
      <sz val="11"/>
      <color theme="1"/>
      <name val="Calibri"/>
      <family val="2"/>
    </font>
    <font>
      <sz val="12"/>
      <color theme="3" tint="-0.499984740745262"/>
      <name val="Calibri"/>
      <family val="4"/>
      <charset val="134"/>
      <scheme val="minor"/>
    </font>
    <font>
      <u/>
      <sz val="12"/>
      <color theme="10"/>
      <name val="Calibri"/>
      <family val="2"/>
      <scheme val="minor"/>
    </font>
    <font>
      <sz val="12"/>
      <color rgb="FFC00000"/>
      <name val="Calibri"/>
      <family val="2"/>
    </font>
    <font>
      <sz val="12"/>
      <color rgb="FF000000"/>
      <name val="Calibri"/>
      <family val="2"/>
    </font>
    <font>
      <sz val="12"/>
      <color theme="0"/>
      <name val="Calibri"/>
      <family val="2"/>
    </font>
    <font>
      <b/>
      <sz val="12"/>
      <color theme="0"/>
      <name val="Calibri"/>
      <family val="2"/>
    </font>
    <font>
      <u/>
      <sz val="12"/>
      <color theme="10"/>
      <name val="Calibri"/>
      <family val="2"/>
    </font>
    <font>
      <b/>
      <sz val="11"/>
      <color theme="0"/>
      <name val="Calibri"/>
      <family val="4"/>
      <charset val="134"/>
      <scheme val="minor"/>
    </font>
    <font>
      <sz val="11"/>
      <color rgb="FF000000"/>
      <name val="Calibri"/>
      <family val="2"/>
    </font>
    <font>
      <b/>
      <sz val="12"/>
      <color theme="8"/>
      <name val="Calibri"/>
      <family val="2"/>
    </font>
    <font>
      <b/>
      <sz val="14"/>
      <color theme="1"/>
      <name val="Calibri"/>
      <family val="2"/>
    </font>
    <font>
      <b/>
      <sz val="12"/>
      <color theme="0"/>
      <name val="Calibri"/>
      <family val="4"/>
      <charset val="134"/>
      <scheme val="minor"/>
    </font>
    <font>
      <b/>
      <sz val="16"/>
      <color theme="5"/>
      <name val="Calibri"/>
      <family val="2"/>
    </font>
    <font>
      <sz val="12"/>
      <color theme="0"/>
      <name val="Calibri"/>
      <family val="2"/>
      <charset val="134"/>
      <scheme val="minor"/>
    </font>
    <font>
      <b/>
      <sz val="18"/>
      <color theme="5"/>
      <name val="Calibri"/>
      <family val="2"/>
    </font>
    <font>
      <b/>
      <sz val="12"/>
      <color theme="9"/>
      <name val="Calibri"/>
      <family val="2"/>
    </font>
    <font>
      <b/>
      <sz val="12"/>
      <color theme="6"/>
      <name val="Calibri"/>
      <family val="2"/>
    </font>
    <font>
      <b/>
      <sz val="11"/>
      <color rgb="FF000000"/>
      <name val="Calibri"/>
      <family val="4"/>
      <charset val="134"/>
      <scheme val="minor"/>
    </font>
    <font>
      <sz val="12"/>
      <name val="Calibri"/>
      <family val="4"/>
      <charset val="134"/>
      <scheme val="minor"/>
    </font>
    <font>
      <sz val="12"/>
      <color rgb="FFFFFFFF"/>
      <name val="Calibri"/>
      <family val="2"/>
    </font>
    <font>
      <sz val="12"/>
      <name val="Calibri"/>
      <family val="2"/>
      <charset val="134"/>
      <scheme val="minor"/>
    </font>
    <font>
      <sz val="12"/>
      <color rgb="FFFF0000"/>
      <name val="Calibri"/>
      <family val="2"/>
    </font>
    <font>
      <sz val="11"/>
      <name val="Calibri"/>
      <family val="2"/>
    </font>
    <font>
      <sz val="11"/>
      <name val="Calibri"/>
      <family val="2"/>
      <scheme val="minor"/>
    </font>
    <font>
      <sz val="12"/>
      <color theme="1"/>
      <name val="Microsoft YaHei"/>
      <family val="2"/>
      <charset val="134"/>
    </font>
    <font>
      <sz val="12"/>
      <color theme="1"/>
      <name val="等线"/>
      <family val="2"/>
      <charset val="134"/>
    </font>
    <font>
      <b/>
      <sz val="11"/>
      <name val="Calibri"/>
      <family val="2"/>
    </font>
    <font>
      <sz val="12"/>
      <color rgb="FF000000"/>
      <name val="Calibri"/>
      <family val="2"/>
      <charset val="134"/>
      <scheme val="minor"/>
    </font>
    <font>
      <sz val="11"/>
      <color theme="0"/>
      <name val="Calibri"/>
      <family val="4"/>
      <charset val="134"/>
      <scheme val="minor"/>
    </font>
    <font>
      <sz val="12"/>
      <color theme="7"/>
      <name val="Calibri"/>
      <family val="2"/>
    </font>
    <font>
      <b/>
      <sz val="12"/>
      <name val="Calibri"/>
      <family val="2"/>
    </font>
    <font>
      <sz val="12"/>
      <color rgb="FF302F37"/>
      <name val="Calibri"/>
      <family val="2"/>
    </font>
    <font>
      <sz val="12"/>
      <color rgb="FFFF0000"/>
      <name val="Calibri"/>
      <family val="2"/>
      <charset val="134"/>
      <scheme val="minor"/>
    </font>
    <font>
      <b/>
      <sz val="12"/>
      <color theme="5"/>
      <name val="Calibri"/>
      <family val="2"/>
    </font>
    <font>
      <b/>
      <sz val="9"/>
      <color rgb="FF000000"/>
      <name val="Tahoma"/>
      <family val="2"/>
    </font>
    <font>
      <sz val="9"/>
      <color rgb="FF000000"/>
      <name val="Tahoma"/>
      <family val="2"/>
    </font>
    <font>
      <sz val="12"/>
      <color rgb="FF000000"/>
      <name val="Aptos Narrow"/>
    </font>
    <font>
      <sz val="12"/>
      <color rgb="FF000000"/>
      <name val="Aptos Narrow"/>
      <family val="2"/>
    </font>
    <font>
      <sz val="12"/>
      <color theme="0"/>
      <name val="Calibri"/>
      <family val="4"/>
      <charset val="134"/>
      <scheme val="minor"/>
    </font>
    <font>
      <b/>
      <sz val="16"/>
      <color theme="1"/>
      <name val="Calibri"/>
      <family val="2"/>
    </font>
    <font>
      <b/>
      <sz val="12"/>
      <color rgb="FFFFFFFF"/>
      <name val="Helvetica"/>
      <family val="2"/>
    </font>
    <font>
      <b/>
      <sz val="12"/>
      <color rgb="FF302F37"/>
      <name val="Calibri"/>
      <family val="2"/>
    </font>
    <font>
      <b/>
      <sz val="16"/>
      <color rgb="FFFFFFFF"/>
      <name val="Calibri"/>
      <family val="2"/>
    </font>
    <font>
      <b/>
      <vertAlign val="superscript"/>
      <sz val="16"/>
      <color rgb="FFFFFFFF"/>
      <name val="Calibri"/>
      <family val="2"/>
    </font>
    <font>
      <b/>
      <sz val="16"/>
      <color theme="0"/>
      <name val="Calibri"/>
      <family val="2"/>
    </font>
    <font>
      <sz val="12"/>
      <name val="Cambria Math"/>
      <family val="2"/>
      <charset val="1"/>
    </font>
    <font>
      <sz val="12"/>
      <color theme="1"/>
      <name val="Cambria Math"/>
      <family val="2"/>
      <charset val="1"/>
    </font>
    <font>
      <b/>
      <sz val="14"/>
      <color theme="0"/>
      <name val="Calibri"/>
      <family val="2"/>
    </font>
    <font>
      <sz val="11"/>
      <color theme="0"/>
      <name val="Calibri"/>
      <family val="2"/>
    </font>
    <font>
      <b/>
      <sz val="11"/>
      <color theme="0"/>
      <name val="Calibri"/>
      <family val="2"/>
    </font>
    <font>
      <u/>
      <sz val="12"/>
      <name val="Calibri"/>
      <family val="2"/>
    </font>
    <font>
      <b/>
      <sz val="12"/>
      <color rgb="FFFFFFFF"/>
      <name val="Calibri"/>
      <family val="2"/>
    </font>
    <font>
      <sz val="12"/>
      <color theme="0"/>
      <name val="Aptos Narrow"/>
      <family val="2"/>
    </font>
    <font>
      <b/>
      <sz val="12"/>
      <color theme="0"/>
      <name val="Aptos Narrow"/>
      <family val="2"/>
    </font>
  </fonts>
  <fills count="28">
    <fill>
      <patternFill patternType="none"/>
    </fill>
    <fill>
      <patternFill patternType="gray125"/>
    </fill>
    <fill>
      <patternFill patternType="solid">
        <fgColor rgb="FF45818E"/>
        <bgColor rgb="FF45818E"/>
      </patternFill>
    </fill>
    <fill>
      <patternFill patternType="solid">
        <fgColor theme="9"/>
        <bgColor indexed="64"/>
      </patternFill>
    </fill>
    <fill>
      <patternFill patternType="solid">
        <fgColor theme="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8"/>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007A94"/>
        <bgColor rgb="FF000000"/>
      </patternFill>
    </fill>
    <fill>
      <patternFill patternType="solid">
        <fgColor theme="0"/>
        <bgColor indexed="64"/>
      </patternFill>
    </fill>
    <fill>
      <patternFill patternType="solid">
        <fgColor theme="3" tint="0.39997558519241921"/>
        <bgColor indexed="64"/>
      </patternFill>
    </fill>
    <fill>
      <patternFill patternType="solid">
        <fgColor rgb="FFFFFF00"/>
        <bgColor indexed="64"/>
      </patternFill>
    </fill>
    <fill>
      <patternFill patternType="solid">
        <fgColor theme="5"/>
        <bgColor rgb="FF000000"/>
      </patternFill>
    </fill>
    <fill>
      <patternFill patternType="solid">
        <fgColor theme="7" tint="0.79998168889431442"/>
        <bgColor indexed="64"/>
      </patternFill>
    </fill>
    <fill>
      <patternFill patternType="solid">
        <fgColor rgb="FF007A94"/>
        <bgColor indexed="64"/>
      </patternFill>
    </fill>
    <fill>
      <patternFill patternType="solid">
        <fgColor theme="6" tint="0.39997558519241921"/>
        <bgColor indexed="64"/>
      </patternFill>
    </fill>
    <fill>
      <patternFill patternType="solid">
        <fgColor rgb="FFF2F2F2"/>
        <bgColor rgb="FF000000"/>
      </patternFill>
    </fill>
    <fill>
      <patternFill patternType="solid">
        <fgColor rgb="FFF4AF00"/>
        <bgColor rgb="FF000000"/>
      </patternFill>
    </fill>
    <fill>
      <patternFill patternType="solid">
        <fgColor rgb="FFF7DBD5"/>
        <bgColor rgb="FF000000"/>
      </patternFill>
    </fill>
    <fill>
      <patternFill patternType="solid">
        <fgColor rgb="FFE1EDD3"/>
        <bgColor rgb="FF000000"/>
      </patternFill>
    </fill>
    <fill>
      <patternFill patternType="solid">
        <fgColor rgb="FFC0E6F5"/>
        <bgColor rgb="FF000000"/>
      </patternFill>
    </fill>
    <fill>
      <patternFill patternType="solid">
        <fgColor rgb="FFC9ECE6"/>
        <bgColor indexed="64"/>
      </patternFill>
    </fill>
    <fill>
      <patternFill patternType="solid">
        <fgColor rgb="FFABA3C8"/>
        <bgColor indexed="64"/>
      </patternFill>
    </fill>
    <fill>
      <patternFill patternType="solid">
        <fgColor theme="5" tint="-0.499984740745262"/>
        <bgColor indexed="64"/>
      </patternFill>
    </fill>
    <fill>
      <patternFill patternType="solid">
        <fgColor theme="0" tint="-4.9989318521683403E-2"/>
        <bgColor indexed="64"/>
      </patternFill>
    </fill>
    <fill>
      <patternFill patternType="solid">
        <fgColor theme="5" tint="-0.249977111117893"/>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ck">
        <color theme="0"/>
      </left>
      <right style="thick">
        <color theme="0"/>
      </right>
      <top style="dotted">
        <color theme="0" tint="-0.14996795556505021"/>
      </top>
      <bottom style="dotted">
        <color theme="0" tint="-0.14996795556505021"/>
      </bottom>
      <diagonal/>
    </border>
    <border>
      <left style="thick">
        <color theme="0"/>
      </left>
      <right style="thick">
        <color theme="0"/>
      </right>
      <top style="thin">
        <color theme="0"/>
      </top>
      <bottom style="thin">
        <color theme="0"/>
      </bottom>
      <diagonal/>
    </border>
    <border>
      <left style="thick">
        <color theme="0"/>
      </left>
      <right style="thick">
        <color theme="0"/>
      </right>
      <top style="thin">
        <color theme="0"/>
      </top>
      <bottom style="dotted">
        <color theme="0" tint="-0.14996795556505021"/>
      </bottom>
      <diagonal/>
    </border>
    <border>
      <left style="thick">
        <color theme="0"/>
      </left>
      <right style="thick">
        <color theme="0"/>
      </right>
      <top/>
      <bottom style="thin">
        <color theme="0"/>
      </bottom>
      <diagonal/>
    </border>
    <border>
      <left style="thick">
        <color theme="0"/>
      </left>
      <right style="thick">
        <color theme="0"/>
      </right>
      <top/>
      <bottom style="dotted">
        <color theme="0" tint="-0.14996795556505021"/>
      </bottom>
      <diagonal/>
    </border>
    <border>
      <left style="thick">
        <color theme="0"/>
      </left>
      <right/>
      <top style="hair">
        <color theme="3" tint="0.59996337778862885"/>
      </top>
      <bottom style="hair">
        <color theme="3" tint="0.59996337778862885"/>
      </bottom>
      <diagonal/>
    </border>
    <border>
      <left style="thick">
        <color theme="0"/>
      </left>
      <right/>
      <top/>
      <bottom style="hair">
        <color theme="3" tint="0.59996337778862885"/>
      </bottom>
      <diagonal/>
    </border>
    <border>
      <left/>
      <right style="thick">
        <color theme="0"/>
      </right>
      <top/>
      <bottom style="hair">
        <color theme="3" tint="0.59996337778862885"/>
      </bottom>
      <diagonal/>
    </border>
    <border>
      <left style="thin">
        <color theme="3" tint="0.59996337778862885"/>
      </left>
      <right/>
      <top/>
      <bottom/>
      <diagonal/>
    </border>
    <border>
      <left style="thin">
        <color theme="3" tint="0.59996337778862885"/>
      </left>
      <right style="thin">
        <color theme="3" tint="0.59996337778862885"/>
      </right>
      <top/>
      <bottom style="thin">
        <color theme="3" tint="0.59996337778862885"/>
      </bottom>
      <diagonal/>
    </border>
    <border>
      <left style="thick">
        <color theme="0"/>
      </left>
      <right/>
      <top style="thin">
        <color theme="3" tint="0.59996337778862885"/>
      </top>
      <bottom style="hair">
        <color theme="3" tint="0.59996337778862885"/>
      </bottom>
      <diagonal/>
    </border>
    <border>
      <left/>
      <right style="thick">
        <color theme="0"/>
      </right>
      <top style="thin">
        <color theme="3" tint="0.59996337778862885"/>
      </top>
      <bottom style="hair">
        <color theme="3" tint="0.59996337778862885"/>
      </bottom>
      <diagonal/>
    </border>
    <border>
      <left/>
      <right/>
      <top style="hair">
        <color theme="3" tint="0.59996337778862885"/>
      </top>
      <bottom style="hair">
        <color theme="3" tint="0.59996337778862885"/>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theme="0" tint="-0.24994659260841701"/>
      </left>
      <right style="thin">
        <color theme="3" tint="0.59996337778862885"/>
      </right>
      <top style="thin">
        <color theme="0" tint="-0.24994659260841701"/>
      </top>
      <bottom/>
      <diagonal/>
    </border>
    <border>
      <left style="thin">
        <color theme="3" tint="0.59996337778862885"/>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3" tint="0.59996337778862885"/>
      </right>
      <top/>
      <bottom/>
      <diagonal/>
    </border>
    <border>
      <left/>
      <right style="thin">
        <color theme="0" tint="-0.24994659260841701"/>
      </right>
      <top/>
      <bottom/>
      <diagonal/>
    </border>
    <border>
      <left style="thin">
        <color theme="0" tint="-0.24994659260841701"/>
      </left>
      <right style="thick">
        <color theme="0"/>
      </right>
      <top/>
      <bottom style="thin">
        <color theme="0"/>
      </bottom>
      <diagonal/>
    </border>
    <border>
      <left style="thick">
        <color theme="0"/>
      </left>
      <right style="thin">
        <color theme="0" tint="-0.24994659260841701"/>
      </right>
      <top style="hair">
        <color theme="0" tint="-0.24994659260841701"/>
      </top>
      <bottom/>
      <diagonal/>
    </border>
    <border>
      <left style="thin">
        <color theme="0" tint="-0.24994659260841701"/>
      </left>
      <right style="thick">
        <color theme="0"/>
      </right>
      <top style="thin">
        <color theme="0"/>
      </top>
      <bottom style="thin">
        <color theme="0"/>
      </bottom>
      <diagonal/>
    </border>
    <border>
      <left style="thick">
        <color theme="0"/>
      </left>
      <right style="thin">
        <color theme="0" tint="-0.24994659260841701"/>
      </right>
      <top/>
      <bottom/>
      <diagonal/>
    </border>
    <border>
      <left style="thin">
        <color theme="0" tint="-0.24994659260841701"/>
      </left>
      <right style="thick">
        <color theme="0"/>
      </right>
      <top style="thin">
        <color theme="0"/>
      </top>
      <bottom style="thin">
        <color theme="0" tint="-0.24994659260841701"/>
      </bottom>
      <diagonal/>
    </border>
    <border>
      <left style="thick">
        <color theme="0"/>
      </left>
      <right/>
      <top style="thin">
        <color theme="3" tint="0.59996337778862885"/>
      </top>
      <bottom style="thin">
        <color theme="0" tint="-0.24994659260841701"/>
      </bottom>
      <diagonal/>
    </border>
    <border>
      <left/>
      <right style="thick">
        <color theme="0"/>
      </right>
      <top style="thin">
        <color theme="3" tint="0.59996337778862885"/>
      </top>
      <bottom style="thin">
        <color theme="0" tint="-0.24994659260841701"/>
      </bottom>
      <diagonal/>
    </border>
    <border>
      <left style="thick">
        <color theme="0"/>
      </left>
      <right style="thick">
        <color theme="0"/>
      </right>
      <top/>
      <bottom style="thin">
        <color theme="0" tint="-0.24994659260841701"/>
      </bottom>
      <diagonal/>
    </border>
    <border>
      <left style="thick">
        <color theme="0"/>
      </left>
      <right/>
      <top/>
      <bottom style="dotted">
        <color theme="0" tint="-0.14996795556505021"/>
      </bottom>
      <diagonal/>
    </border>
    <border>
      <left style="thick">
        <color theme="0"/>
      </left>
      <right/>
      <top/>
      <bottom style="thin">
        <color theme="0" tint="-0.24994659260841701"/>
      </bottom>
      <diagonal/>
    </border>
    <border>
      <left style="thick">
        <color theme="0"/>
      </left>
      <right/>
      <top style="hair">
        <color theme="3" tint="0.59996337778862885"/>
      </top>
      <bottom/>
      <diagonal/>
    </border>
    <border>
      <left style="thick">
        <color theme="0"/>
      </left>
      <right/>
      <top/>
      <bottom/>
      <diagonal/>
    </border>
    <border>
      <left style="thick">
        <color theme="0"/>
      </left>
      <right style="thin">
        <color theme="0" tint="-0.24994659260841701"/>
      </right>
      <top style="hair">
        <color theme="0" tint="-0.24994659260841701"/>
      </top>
      <bottom style="hair">
        <color theme="3" tint="0.79998168889431442"/>
      </bottom>
      <diagonal/>
    </border>
    <border>
      <left style="thick">
        <color theme="0"/>
      </left>
      <right style="thin">
        <color theme="0" tint="-0.24994659260841701"/>
      </right>
      <top style="hair">
        <color theme="3" tint="0.79998168889431442"/>
      </top>
      <bottom style="hair">
        <color theme="3" tint="0.79998168889431442"/>
      </bottom>
      <diagonal/>
    </border>
    <border>
      <left style="thick">
        <color theme="0"/>
      </left>
      <right style="thin">
        <color theme="0" tint="-0.24994659260841701"/>
      </right>
      <top style="hair">
        <color theme="3" tint="0.79998168889431442"/>
      </top>
      <bottom style="thin">
        <color theme="0" tint="-0.24994659260841701"/>
      </bottom>
      <diagonal/>
    </border>
    <border>
      <left style="thick">
        <color theme="0"/>
      </left>
      <right style="thin">
        <color theme="0" tint="-0.24994659260841701"/>
      </right>
      <top style="hair">
        <color theme="3" tint="0.79998168889431442"/>
      </top>
      <bottom/>
      <diagonal/>
    </border>
    <border>
      <left style="thick">
        <color theme="0"/>
      </left>
      <right style="thin">
        <color theme="0" tint="-0.24994659260841701"/>
      </right>
      <top/>
      <bottom style="thin">
        <color theme="0" tint="-0.24994659260841701"/>
      </bottom>
      <diagonal/>
    </border>
    <border>
      <left style="thick">
        <color theme="0"/>
      </left>
      <right style="thin">
        <color theme="0" tint="-0.24994659260841701"/>
      </right>
      <top/>
      <bottom style="hair">
        <color theme="3" tint="0.79998168889431442"/>
      </bottom>
      <diagonal/>
    </border>
    <border>
      <left/>
      <right/>
      <top style="thin">
        <color indexed="64"/>
      </top>
      <bottom style="thin">
        <color indexed="64"/>
      </bottom>
      <diagonal/>
    </border>
    <border>
      <left style="thick">
        <color theme="0"/>
      </left>
      <right style="thick">
        <color theme="0"/>
      </right>
      <top/>
      <bottom/>
      <diagonal/>
    </border>
    <border>
      <left/>
      <right/>
      <top style="thick">
        <color theme="0"/>
      </top>
      <bottom/>
      <diagonal/>
    </border>
    <border>
      <left/>
      <right style="thick">
        <color theme="0"/>
      </right>
      <top/>
      <bottom style="thin">
        <color theme="0"/>
      </bottom>
      <diagonal/>
    </border>
    <border>
      <left style="thin">
        <color theme="0"/>
      </left>
      <right style="thin">
        <color theme="0"/>
      </right>
      <top style="thin">
        <color theme="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000000"/>
      </bottom>
      <diagonal/>
    </border>
  </borders>
  <cellStyleXfs count="16">
    <xf numFmtId="0" fontId="0" fillId="0" borderId="0">
      <alignment vertical="center"/>
    </xf>
    <xf numFmtId="0" fontId="1" fillId="0" borderId="0"/>
    <xf numFmtId="43"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alignment vertical="center"/>
    </xf>
    <xf numFmtId="0" fontId="6" fillId="0" borderId="0" applyNumberFormat="0" applyFill="0" applyBorder="0" applyAlignment="0" applyProtection="0">
      <alignment vertical="center"/>
    </xf>
    <xf numFmtId="43" fontId="4" fillId="0" borderId="0" applyFont="0" applyFill="0" applyBorder="0" applyAlignment="0" applyProtection="0">
      <alignment vertical="center"/>
    </xf>
    <xf numFmtId="0" fontId="11" fillId="0" borderId="0"/>
    <xf numFmtId="43" fontId="11" fillId="0" borderId="0" applyFont="0" applyFill="0" applyBorder="0" applyAlignment="0" applyProtection="0">
      <alignment vertical="center"/>
    </xf>
    <xf numFmtId="0" fontId="12" fillId="0" borderId="0" applyNumberFormat="0" applyFill="0" applyBorder="0" applyAlignment="0" applyProtection="0"/>
    <xf numFmtId="0" fontId="16" fillId="0" borderId="0" applyNumberFormat="0" applyFill="0" applyBorder="0" applyAlignment="0" applyProtection="0"/>
    <xf numFmtId="43"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2" fillId="0" borderId="0" applyNumberFormat="0" applyFill="0" applyBorder="0" applyAlignment="0" applyProtection="0"/>
    <xf numFmtId="44" fontId="11" fillId="0" borderId="0" applyFont="0" applyFill="0" applyBorder="0" applyAlignment="0" applyProtection="0">
      <alignment vertical="center"/>
    </xf>
    <xf numFmtId="43" fontId="11" fillId="0" borderId="0" applyFont="0" applyFill="0" applyBorder="0" applyAlignment="0" applyProtection="0"/>
  </cellStyleXfs>
  <cellXfs count="552">
    <xf numFmtId="0" fontId="0" fillId="0" borderId="0" xfId="0">
      <alignment vertical="center"/>
    </xf>
    <xf numFmtId="0" fontId="5" fillId="0" borderId="0" xfId="0" applyFont="1">
      <alignment vertical="center"/>
    </xf>
    <xf numFmtId="0" fontId="0" fillId="0" borderId="0" xfId="0" applyAlignment="1">
      <alignment horizontal="left" vertical="center"/>
    </xf>
    <xf numFmtId="0" fontId="7" fillId="0" borderId="0" xfId="0" applyFont="1" applyAlignment="1">
      <alignment horizontal="center"/>
    </xf>
    <xf numFmtId="0" fontId="7" fillId="0" borderId="0" xfId="0" applyFont="1" applyAlignment="1"/>
    <xf numFmtId="0" fontId="11" fillId="0" borderId="0" xfId="7"/>
    <xf numFmtId="0" fontId="7" fillId="0" borderId="0" xfId="0" applyFont="1" applyAlignment="1">
      <alignment horizontal="center" vertical="center"/>
    </xf>
    <xf numFmtId="0" fontId="7" fillId="0" borderId="1" xfId="0" applyFont="1" applyBorder="1">
      <alignment vertical="center"/>
    </xf>
    <xf numFmtId="0" fontId="7" fillId="0" borderId="0" xfId="0" applyFont="1">
      <alignment vertical="center"/>
    </xf>
    <xf numFmtId="0" fontId="7" fillId="0" borderId="1" xfId="0" applyFont="1" applyBorder="1" applyAlignment="1">
      <alignment horizontal="left" vertical="center"/>
    </xf>
    <xf numFmtId="9" fontId="7" fillId="0" borderId="0" xfId="4" applyFont="1">
      <alignment vertical="center"/>
    </xf>
    <xf numFmtId="166" fontId="18" fillId="0" borderId="0" xfId="0" applyNumberFormat="1" applyFont="1" applyAlignment="1">
      <alignment horizontal="center" vertical="center" wrapText="1"/>
    </xf>
    <xf numFmtId="0" fontId="7" fillId="0" borderId="0" xfId="0" applyFont="1" applyAlignment="1">
      <alignment horizontal="left" vertical="center"/>
    </xf>
    <xf numFmtId="0" fontId="20" fillId="4" borderId="1" xfId="0" applyFont="1" applyFill="1" applyBorder="1" applyAlignment="1">
      <alignment horizontal="center" vertical="center" wrapText="1"/>
    </xf>
    <xf numFmtId="0" fontId="7" fillId="0" borderId="0" xfId="0" applyFont="1" applyAlignment="1">
      <alignment vertical="center" wrapText="1"/>
    </xf>
    <xf numFmtId="0" fontId="8" fillId="0" borderId="0" xfId="0" applyFont="1" applyAlignment="1">
      <alignment horizontal="left" vertical="center"/>
    </xf>
    <xf numFmtId="167" fontId="7" fillId="0" borderId="0" xfId="0" applyNumberFormat="1" applyFont="1" applyAlignment="1">
      <alignment horizontal="center" vertical="center"/>
    </xf>
    <xf numFmtId="0" fontId="20" fillId="4" borderId="1" xfId="0" applyFont="1" applyFill="1" applyBorder="1" applyAlignment="1">
      <alignment horizontal="center" vertical="center"/>
    </xf>
    <xf numFmtId="0" fontId="13" fillId="0" borderId="0" xfId="7" applyFont="1"/>
    <xf numFmtId="0" fontId="13" fillId="0" borderId="0" xfId="7" applyFont="1" applyAlignment="1">
      <alignment horizontal="center"/>
    </xf>
    <xf numFmtId="164" fontId="13" fillId="0" borderId="0" xfId="7" applyNumberFormat="1" applyFont="1"/>
    <xf numFmtId="0" fontId="19" fillId="0" borderId="0" xfId="0" applyFont="1">
      <alignment vertical="center"/>
    </xf>
    <xf numFmtId="164" fontId="7" fillId="0" borderId="0" xfId="0" applyNumberFormat="1" applyFont="1">
      <alignment vertical="center"/>
    </xf>
    <xf numFmtId="0" fontId="7" fillId="0" borderId="0" xfId="0" applyFont="1" applyAlignment="1">
      <alignment horizontal="right" vertical="center"/>
    </xf>
    <xf numFmtId="0" fontId="7" fillId="0" borderId="6" xfId="0" applyFont="1" applyBorder="1">
      <alignment vertical="center"/>
    </xf>
    <xf numFmtId="164" fontId="13" fillId="0" borderId="0" xfId="7" applyNumberFormat="1" applyFont="1" applyAlignment="1">
      <alignment horizontal="right"/>
    </xf>
    <xf numFmtId="9" fontId="7" fillId="0" borderId="0" xfId="4" applyFont="1" applyAlignment="1">
      <alignment horizontal="right" vertical="center"/>
    </xf>
    <xf numFmtId="165" fontId="7" fillId="0" borderId="0" xfId="0" applyNumberFormat="1" applyFont="1" applyAlignment="1">
      <alignment horizontal="right" vertical="center"/>
    </xf>
    <xf numFmtId="0" fontId="7" fillId="0" borderId="7" xfId="0" applyFont="1" applyBorder="1">
      <alignment vertical="center"/>
    </xf>
    <xf numFmtId="1" fontId="7" fillId="0" borderId="16" xfId="0" applyNumberFormat="1" applyFont="1" applyBorder="1" applyAlignment="1">
      <alignment horizontal="center" vertical="center"/>
    </xf>
    <xf numFmtId="0" fontId="19" fillId="12" borderId="19" xfId="0" applyFont="1" applyFill="1" applyBorder="1" applyAlignment="1">
      <alignment horizontal="left" vertical="center"/>
    </xf>
    <xf numFmtId="1" fontId="7" fillId="0" borderId="20" xfId="0" applyNumberFormat="1" applyFont="1" applyBorder="1" applyAlignment="1">
      <alignment horizontal="center" vertical="center"/>
    </xf>
    <xf numFmtId="2" fontId="7" fillId="0" borderId="0" xfId="0" applyNumberFormat="1" applyFont="1">
      <alignment vertical="center"/>
    </xf>
    <xf numFmtId="169" fontId="7" fillId="0" borderId="0" xfId="0" applyNumberFormat="1" applyFont="1">
      <alignment vertical="center"/>
    </xf>
    <xf numFmtId="0" fontId="8" fillId="0" borderId="0" xfId="0" applyFont="1">
      <alignment vertical="center"/>
    </xf>
    <xf numFmtId="1" fontId="25" fillId="0" borderId="20" xfId="0" applyNumberFormat="1" applyFont="1" applyBorder="1" applyAlignment="1">
      <alignment horizontal="center" vertical="center"/>
    </xf>
    <xf numFmtId="167" fontId="7" fillId="0" borderId="0" xfId="0" applyNumberFormat="1" applyFont="1">
      <alignment vertical="center"/>
    </xf>
    <xf numFmtId="1" fontId="7" fillId="0" borderId="0" xfId="0" applyNumberFormat="1" applyFont="1">
      <alignment vertical="center"/>
    </xf>
    <xf numFmtId="0" fontId="7" fillId="0" borderId="25" xfId="0" applyFont="1" applyBorder="1" applyAlignment="1">
      <alignment horizontal="center" vertical="center" wrapText="1"/>
    </xf>
    <xf numFmtId="169" fontId="7" fillId="0" borderId="26" xfId="0" applyNumberFormat="1" applyFont="1" applyBorder="1" applyAlignment="1">
      <alignment horizontal="center" vertical="center"/>
    </xf>
    <xf numFmtId="169" fontId="7" fillId="0" borderId="27" xfId="0" applyNumberFormat="1" applyFont="1" applyBorder="1" applyAlignment="1">
      <alignment horizontal="center" vertical="center"/>
    </xf>
    <xf numFmtId="169" fontId="7" fillId="0" borderId="21" xfId="0" applyNumberFormat="1" applyFont="1" applyBorder="1" applyAlignment="1">
      <alignment horizontal="center" vertical="center"/>
    </xf>
    <xf numFmtId="169" fontId="7" fillId="0" borderId="28" xfId="0" applyNumberFormat="1" applyFont="1" applyBorder="1" applyAlignment="1">
      <alignment horizontal="center" vertical="center"/>
    </xf>
    <xf numFmtId="0" fontId="13" fillId="0" borderId="0" xfId="7" applyFont="1" applyAlignment="1">
      <alignment horizontal="left"/>
    </xf>
    <xf numFmtId="164" fontId="0" fillId="0" borderId="0" xfId="0" applyNumberFormat="1">
      <alignment vertical="center"/>
    </xf>
    <xf numFmtId="0" fontId="20" fillId="4" borderId="1" xfId="0" applyFont="1" applyFill="1" applyBorder="1" applyAlignment="1">
      <alignment horizontal="center" vertical="top" wrapText="1"/>
    </xf>
    <xf numFmtId="164" fontId="0" fillId="0" borderId="0" xfId="6" applyNumberFormat="1" applyFont="1" applyBorder="1">
      <alignment vertical="center"/>
    </xf>
    <xf numFmtId="169" fontId="7" fillId="0" borderId="42" xfId="0" applyNumberFormat="1" applyFont="1" applyBorder="1" applyAlignment="1">
      <alignment horizontal="center" vertical="center"/>
    </xf>
    <xf numFmtId="169" fontId="7" fillId="0" borderId="43" xfId="0" applyNumberFormat="1" applyFont="1" applyBorder="1" applyAlignment="1">
      <alignment horizontal="center" vertical="center"/>
    </xf>
    <xf numFmtId="1" fontId="7" fillId="0" borderId="44" xfId="0" applyNumberFormat="1" applyFont="1" applyBorder="1" applyAlignment="1">
      <alignment horizontal="center" vertical="center"/>
    </xf>
    <xf numFmtId="164" fontId="0" fillId="0" borderId="0" xfId="6" applyNumberFormat="1" applyFont="1">
      <alignment vertical="center"/>
    </xf>
    <xf numFmtId="1" fontId="7" fillId="0" borderId="45" xfId="0" applyNumberFormat="1" applyFont="1" applyBorder="1" applyAlignment="1">
      <alignment horizontal="center" vertical="center"/>
    </xf>
    <xf numFmtId="1" fontId="7" fillId="0" borderId="46" xfId="0" applyNumberFormat="1" applyFont="1" applyBorder="1" applyAlignment="1">
      <alignment horizontal="center" vertical="center"/>
    </xf>
    <xf numFmtId="0" fontId="7" fillId="0" borderId="0" xfId="0" applyFont="1" applyAlignment="1">
      <alignment horizontal="left" vertical="center" wrapText="1"/>
    </xf>
    <xf numFmtId="43" fontId="7" fillId="0" borderId="0" xfId="6" applyFont="1">
      <alignment vertical="center"/>
    </xf>
    <xf numFmtId="167" fontId="7" fillId="0" borderId="0" xfId="6" applyNumberFormat="1" applyFont="1" applyAlignment="1">
      <alignment horizontal="right" vertical="center"/>
    </xf>
    <xf numFmtId="0" fontId="7" fillId="0" borderId="8" xfId="0" applyFont="1" applyBorder="1">
      <alignment vertical="center"/>
    </xf>
    <xf numFmtId="0" fontId="7" fillId="0" borderId="9" xfId="0" applyFont="1" applyBorder="1">
      <alignment vertical="center"/>
    </xf>
    <xf numFmtId="0" fontId="0" fillId="0" borderId="0" xfId="0" applyAlignment="1">
      <alignment horizontal="center" vertical="center"/>
    </xf>
    <xf numFmtId="171" fontId="7" fillId="0" borderId="0" xfId="0" applyNumberFormat="1" applyFont="1">
      <alignment vertical="center"/>
    </xf>
    <xf numFmtId="0" fontId="23" fillId="0" borderId="0" xfId="0" applyFont="1">
      <alignment vertical="center"/>
    </xf>
    <xf numFmtId="0" fontId="7" fillId="0" borderId="5" xfId="0" applyFont="1" applyBorder="1">
      <alignment vertical="center"/>
    </xf>
    <xf numFmtId="1" fontId="7" fillId="0" borderId="0" xfId="6" applyNumberFormat="1" applyFont="1">
      <alignment vertical="center"/>
    </xf>
    <xf numFmtId="0" fontId="7" fillId="11" borderId="37" xfId="0" applyFont="1" applyFill="1" applyBorder="1" applyAlignment="1">
      <alignment horizontal="left" vertical="center"/>
    </xf>
    <xf numFmtId="0" fontId="7" fillId="11" borderId="39" xfId="0" applyFont="1" applyFill="1" applyBorder="1" applyAlignment="1">
      <alignment horizontal="left" vertical="center"/>
    </xf>
    <xf numFmtId="0" fontId="7" fillId="11" borderId="41" xfId="0" applyFont="1" applyFill="1" applyBorder="1" applyAlignment="1">
      <alignment horizontal="left" vertical="center"/>
    </xf>
    <xf numFmtId="9" fontId="0" fillId="0" borderId="0" xfId="4" applyFont="1">
      <alignment vertical="center"/>
    </xf>
    <xf numFmtId="10" fontId="0" fillId="0" borderId="0" xfId="4" applyNumberFormat="1" applyFont="1">
      <alignment vertical="center"/>
    </xf>
    <xf numFmtId="164" fontId="7" fillId="0" borderId="0" xfId="6" applyNumberFormat="1" applyFont="1">
      <alignment vertical="center"/>
    </xf>
    <xf numFmtId="165" fontId="0" fillId="0" borderId="0" xfId="4" applyNumberFormat="1" applyFont="1">
      <alignment vertical="center"/>
    </xf>
    <xf numFmtId="169" fontId="24" fillId="11" borderId="23" xfId="0" applyNumberFormat="1" applyFont="1" applyFill="1" applyBorder="1">
      <alignment vertical="center"/>
    </xf>
    <xf numFmtId="1" fontId="7" fillId="0" borderId="1" xfId="0" applyNumberFormat="1" applyFont="1" applyBorder="1" applyAlignment="1">
      <alignment horizontal="center" vertical="center"/>
    </xf>
    <xf numFmtId="170" fontId="7" fillId="0" borderId="0" xfId="6" applyNumberFormat="1" applyFont="1">
      <alignment vertical="center"/>
    </xf>
    <xf numFmtId="0" fontId="7" fillId="0" borderId="0" xfId="0" applyFont="1" applyAlignment="1">
      <alignment horizontal="left"/>
    </xf>
    <xf numFmtId="0" fontId="9" fillId="0" borderId="0" xfId="0" applyFont="1">
      <alignment vertical="center"/>
    </xf>
    <xf numFmtId="169" fontId="7" fillId="0" borderId="0" xfId="6" applyNumberFormat="1" applyFont="1" applyBorder="1">
      <alignment vertical="center"/>
    </xf>
    <xf numFmtId="173" fontId="9" fillId="0" borderId="0" xfId="4" applyNumberFormat="1" applyFont="1" applyFill="1" applyBorder="1">
      <alignment vertical="center"/>
    </xf>
    <xf numFmtId="173" fontId="9" fillId="0" borderId="0" xfId="6" applyNumberFormat="1" applyFont="1" applyFill="1" applyBorder="1" applyAlignment="1">
      <alignment horizontal="right" vertical="center"/>
    </xf>
    <xf numFmtId="0" fontId="9" fillId="0" borderId="1" xfId="0" applyFont="1" applyBorder="1" applyAlignment="1">
      <alignment horizontal="left" vertical="center"/>
    </xf>
    <xf numFmtId="0" fontId="9" fillId="0" borderId="1" xfId="0" applyFont="1" applyBorder="1">
      <alignment vertical="center"/>
    </xf>
    <xf numFmtId="0" fontId="17" fillId="0" borderId="0" xfId="0" applyFont="1">
      <alignment vertical="center"/>
    </xf>
    <xf numFmtId="9" fontId="7" fillId="0" borderId="0" xfId="0" applyNumberFormat="1" applyFont="1">
      <alignment vertical="center"/>
    </xf>
    <xf numFmtId="164" fontId="13" fillId="0" borderId="0" xfId="6" applyNumberFormat="1" applyFont="1" applyAlignment="1"/>
    <xf numFmtId="43" fontId="13" fillId="0" borderId="0" xfId="7" applyNumberFormat="1" applyFont="1"/>
    <xf numFmtId="0" fontId="7" fillId="0" borderId="0" xfId="0" applyFont="1" applyAlignment="1">
      <alignment vertical="top" wrapText="1"/>
    </xf>
    <xf numFmtId="0" fontId="7" fillId="0" borderId="0" xfId="0" applyFont="1" applyAlignment="1">
      <alignment horizontal="left" vertical="top"/>
    </xf>
    <xf numFmtId="0" fontId="7" fillId="0" borderId="0" xfId="0" applyFont="1" applyAlignment="1">
      <alignment vertical="top"/>
    </xf>
    <xf numFmtId="0" fontId="7" fillId="0" borderId="0" xfId="0" applyFont="1" applyAlignment="1">
      <alignment horizontal="left" vertical="top" wrapText="1"/>
    </xf>
    <xf numFmtId="0" fontId="7" fillId="0" borderId="1" xfId="0" applyFont="1" applyBorder="1" applyAlignment="1">
      <alignment vertical="center" wrapText="1"/>
    </xf>
    <xf numFmtId="9" fontId="7" fillId="0" borderId="1" xfId="4" applyFont="1" applyBorder="1" applyAlignment="1">
      <alignment horizontal="center" vertical="center"/>
    </xf>
    <xf numFmtId="9" fontId="9" fillId="0" borderId="1" xfId="4" applyFont="1" applyBorder="1" applyAlignment="1">
      <alignment horizontal="center" vertical="center"/>
    </xf>
    <xf numFmtId="0" fontId="36" fillId="0" borderId="0" xfId="0" applyFont="1">
      <alignment vertical="center"/>
    </xf>
    <xf numFmtId="164" fontId="13" fillId="0" borderId="0" xfId="6" applyNumberFormat="1" applyFont="1" applyAlignment="1">
      <alignment horizontal="center" vertical="center" wrapText="1"/>
    </xf>
    <xf numFmtId="0" fontId="34" fillId="16" borderId="1" xfId="0" applyFont="1" applyFill="1" applyBorder="1" applyAlignment="1">
      <alignment horizontal="center" vertical="center" wrapText="1"/>
    </xf>
    <xf numFmtId="0" fontId="7" fillId="0" borderId="1" xfId="0" applyFont="1" applyBorder="1" applyAlignment="1">
      <alignment horizontal="center" vertical="center"/>
    </xf>
    <xf numFmtId="1" fontId="7" fillId="0" borderId="1" xfId="4" applyNumberFormat="1" applyFont="1" applyBorder="1" applyAlignment="1">
      <alignment horizontal="center" vertical="center"/>
    </xf>
    <xf numFmtId="0" fontId="7" fillId="0" borderId="1" xfId="0" applyFont="1" applyBorder="1" applyAlignment="1">
      <alignment horizontal="left" vertical="center" wrapText="1"/>
    </xf>
    <xf numFmtId="0" fontId="42" fillId="0" borderId="0" xfId="0" applyFont="1" applyAlignment="1"/>
    <xf numFmtId="166" fontId="42" fillId="0" borderId="0" xfId="0" applyNumberFormat="1" applyFont="1" applyAlignment="1">
      <alignment horizontal="center" vertical="center"/>
    </xf>
    <xf numFmtId="0" fontId="42" fillId="0" borderId="1" xfId="0" applyFont="1" applyBorder="1" applyAlignment="1">
      <alignment horizontal="left" vertical="center"/>
    </xf>
    <xf numFmtId="0" fontId="42" fillId="0" borderId="3" xfId="0" applyFont="1" applyBorder="1" applyAlignment="1">
      <alignment horizontal="left" vertical="center"/>
    </xf>
    <xf numFmtId="0" fontId="42" fillId="0" borderId="29" xfId="0" applyFont="1" applyBorder="1" applyAlignment="1">
      <alignment horizontal="left" vertical="center"/>
    </xf>
    <xf numFmtId="0" fontId="42" fillId="0" borderId="15" xfId="0" applyFont="1" applyBorder="1" applyAlignment="1">
      <alignment horizontal="left" vertical="center"/>
    </xf>
    <xf numFmtId="0" fontId="7" fillId="0" borderId="1" xfId="0" applyFont="1" applyBorder="1" applyAlignment="1">
      <alignment horizontal="left" vertical="top" wrapText="1"/>
    </xf>
    <xf numFmtId="0" fontId="13" fillId="0" borderId="0" xfId="7" applyFont="1" applyAlignment="1">
      <alignment horizontal="center" vertical="top" wrapText="1"/>
    </xf>
    <xf numFmtId="169" fontId="7" fillId="0" borderId="0" xfId="4" applyNumberFormat="1" applyFont="1" applyBorder="1">
      <alignment vertical="center"/>
    </xf>
    <xf numFmtId="164" fontId="33" fillId="0" borderId="0" xfId="6" applyNumberFormat="1" applyFont="1" applyFill="1" applyBorder="1">
      <alignment vertical="center"/>
    </xf>
    <xf numFmtId="169" fontId="7" fillId="0" borderId="1" xfId="0" applyNumberFormat="1" applyFont="1" applyBorder="1" applyAlignment="1">
      <alignment horizontal="center" vertical="center"/>
    </xf>
    <xf numFmtId="169" fontId="7" fillId="7" borderId="1" xfId="0" applyNumberFormat="1" applyFont="1" applyFill="1" applyBorder="1" applyAlignment="1">
      <alignment horizontal="center" vertical="center"/>
    </xf>
    <xf numFmtId="0" fontId="18" fillId="0" borderId="29" xfId="0" applyFont="1" applyBorder="1">
      <alignment vertical="center"/>
    </xf>
    <xf numFmtId="169" fontId="7" fillId="0" borderId="22" xfId="0" applyNumberFormat="1" applyFont="1" applyBorder="1" applyAlignment="1">
      <alignment horizontal="center" vertical="center"/>
    </xf>
    <xf numFmtId="43" fontId="9" fillId="0" borderId="0" xfId="0" applyNumberFormat="1" applyFont="1" applyAlignment="1">
      <alignment horizontal="center" vertical="center"/>
    </xf>
    <xf numFmtId="43" fontId="7" fillId="0" borderId="0" xfId="0" applyNumberFormat="1" applyFont="1">
      <alignment vertical="center"/>
    </xf>
    <xf numFmtId="0" fontId="37" fillId="0" borderId="0" xfId="7" applyFont="1" applyAlignment="1">
      <alignment horizontal="left"/>
    </xf>
    <xf numFmtId="0" fontId="37" fillId="0" borderId="0" xfId="7" applyFont="1"/>
    <xf numFmtId="0" fontId="7" fillId="0" borderId="0" xfId="7" applyFont="1"/>
    <xf numFmtId="0" fontId="36" fillId="0" borderId="0" xfId="0" applyFont="1" applyAlignment="1">
      <alignment vertical="top" wrapText="1"/>
    </xf>
    <xf numFmtId="43" fontId="9" fillId="0" borderId="0" xfId="0" applyNumberFormat="1" applyFont="1" applyAlignment="1">
      <alignment horizontal="left" vertical="center"/>
    </xf>
    <xf numFmtId="175" fontId="9" fillId="0" borderId="0" xfId="0" applyNumberFormat="1" applyFont="1" applyAlignment="1">
      <alignment horizontal="left" vertical="center"/>
    </xf>
    <xf numFmtId="169" fontId="7" fillId="0" borderId="0" xfId="6" applyNumberFormat="1" applyFont="1">
      <alignment vertical="center"/>
    </xf>
    <xf numFmtId="171" fontId="18" fillId="0" borderId="0" xfId="0" applyNumberFormat="1" applyFont="1" applyAlignment="1">
      <alignment horizontal="center" vertical="center" wrapText="1"/>
    </xf>
    <xf numFmtId="0" fontId="47" fillId="0" borderId="0" xfId="0" applyFont="1">
      <alignment vertical="center"/>
    </xf>
    <xf numFmtId="0" fontId="7" fillId="0" borderId="0" xfId="0" applyFont="1" applyAlignment="1">
      <alignment horizontal="center" vertical="top" wrapText="1"/>
    </xf>
    <xf numFmtId="0" fontId="8" fillId="0" borderId="0" xfId="0" applyFont="1" applyAlignment="1">
      <alignment horizontal="center" vertical="top" wrapText="1"/>
    </xf>
    <xf numFmtId="0" fontId="9" fillId="0" borderId="3" xfId="0" applyFont="1" applyBorder="1">
      <alignment vertical="center"/>
    </xf>
    <xf numFmtId="0" fontId="7" fillId="0" borderId="1" xfId="0" applyFont="1" applyBorder="1" applyAlignment="1">
      <alignment horizontal="center"/>
    </xf>
    <xf numFmtId="9" fontId="7" fillId="0" borderId="1" xfId="4" applyFont="1" applyBorder="1" applyAlignment="1">
      <alignment horizontal="center"/>
    </xf>
    <xf numFmtId="0" fontId="8" fillId="0" borderId="0" xfId="0" applyFont="1" applyAlignment="1">
      <alignment horizontal="right" vertical="center"/>
    </xf>
    <xf numFmtId="0" fontId="42" fillId="0" borderId="12" xfId="0" applyFont="1" applyBorder="1" applyAlignment="1">
      <alignment horizontal="left" vertical="center"/>
    </xf>
    <xf numFmtId="0" fontId="42" fillId="0" borderId="14" xfId="0" applyFont="1" applyBorder="1" applyAlignment="1">
      <alignment horizontal="left" vertical="center"/>
    </xf>
    <xf numFmtId="1" fontId="7" fillId="0" borderId="1" xfId="6" applyNumberFormat="1" applyFont="1" applyBorder="1" applyAlignment="1">
      <alignment horizontal="center" vertical="center"/>
    </xf>
    <xf numFmtId="165" fontId="32" fillId="0" borderId="0" xfId="4" applyNumberFormat="1" applyFont="1" applyAlignment="1"/>
    <xf numFmtId="0" fontId="18" fillId="0" borderId="1" xfId="0" applyFont="1" applyBorder="1">
      <alignment vertical="center"/>
    </xf>
    <xf numFmtId="0" fontId="8" fillId="8" borderId="1" xfId="0" applyFont="1" applyFill="1" applyBorder="1" applyAlignment="1">
      <alignment horizontal="center" vertical="top" wrapText="1"/>
    </xf>
    <xf numFmtId="0" fontId="18" fillId="0" borderId="1" xfId="0" applyFont="1" applyBorder="1" applyAlignment="1">
      <alignment horizontal="center" vertical="center"/>
    </xf>
    <xf numFmtId="0" fontId="18" fillId="18" borderId="1" xfId="0" applyFont="1" applyFill="1" applyBorder="1" applyAlignment="1">
      <alignment horizontal="center" vertical="center"/>
    </xf>
    <xf numFmtId="0" fontId="18" fillId="0" borderId="3" xfId="0" applyFont="1" applyBorder="1" applyAlignment="1">
      <alignment horizontal="center" vertical="center"/>
    </xf>
    <xf numFmtId="0" fontId="46" fillId="0" borderId="0" xfId="7" applyFont="1"/>
    <xf numFmtId="0" fontId="52" fillId="0" borderId="0" xfId="7" applyFont="1"/>
    <xf numFmtId="9" fontId="52" fillId="0" borderId="0" xfId="7" applyNumberFormat="1" applyFont="1"/>
    <xf numFmtId="0" fontId="20" fillId="4" borderId="3" xfId="0" applyFont="1" applyFill="1" applyBorder="1" applyAlignment="1">
      <alignment horizontal="center" vertical="center" wrapText="1"/>
    </xf>
    <xf numFmtId="0" fontId="9" fillId="0" borderId="0" xfId="0" applyFont="1" applyAlignment="1">
      <alignment horizontal="left" vertical="center"/>
    </xf>
    <xf numFmtId="168" fontId="9" fillId="0" borderId="0" xfId="4" applyNumberFormat="1" applyFont="1" applyFill="1" applyBorder="1">
      <alignment vertical="center"/>
    </xf>
    <xf numFmtId="169" fontId="9" fillId="0" borderId="0" xfId="4" applyNumberFormat="1" applyFont="1" applyFill="1" applyBorder="1">
      <alignment vertical="center"/>
    </xf>
    <xf numFmtId="170" fontId="9" fillId="0" borderId="0" xfId="6" applyNumberFormat="1" applyFont="1" applyFill="1" applyBorder="1" applyAlignment="1">
      <alignment horizontal="right" vertical="center"/>
    </xf>
    <xf numFmtId="0" fontId="45" fillId="3" borderId="30" xfId="0" applyFont="1" applyFill="1" applyBorder="1" applyAlignment="1">
      <alignment horizontal="center" vertical="top" wrapText="1"/>
    </xf>
    <xf numFmtId="0" fontId="8" fillId="3" borderId="30" xfId="0" applyFont="1" applyFill="1" applyBorder="1" applyAlignment="1">
      <alignment horizontal="center" vertical="top" wrapText="1"/>
    </xf>
    <xf numFmtId="0" fontId="8" fillId="5" borderId="30" xfId="0" applyFont="1" applyFill="1" applyBorder="1" applyAlignment="1">
      <alignment horizontal="center" vertical="top" wrapText="1"/>
    </xf>
    <xf numFmtId="0" fontId="8" fillId="6" borderId="30" xfId="0" applyFont="1" applyFill="1" applyBorder="1" applyAlignment="1">
      <alignment horizontal="center" vertical="top" wrapText="1"/>
    </xf>
    <xf numFmtId="0" fontId="45" fillId="3" borderId="1" xfId="0" applyFont="1" applyFill="1" applyBorder="1" applyAlignment="1">
      <alignment horizontal="center" vertical="top" wrapText="1"/>
    </xf>
    <xf numFmtId="0" fontId="8" fillId="3" borderId="1" xfId="0" applyFont="1" applyFill="1" applyBorder="1" applyAlignment="1">
      <alignment horizontal="center" vertical="top" wrapText="1"/>
    </xf>
    <xf numFmtId="0" fontId="8" fillId="5" borderId="1" xfId="0" applyFont="1" applyFill="1" applyBorder="1" applyAlignment="1">
      <alignment horizontal="center" vertical="top" wrapText="1"/>
    </xf>
    <xf numFmtId="0" fontId="8" fillId="6" borderId="1" xfId="0" applyFont="1" applyFill="1" applyBorder="1" applyAlignment="1">
      <alignment horizontal="center" vertical="top" wrapText="1"/>
    </xf>
    <xf numFmtId="169" fontId="9" fillId="0" borderId="1" xfId="4" applyNumberFormat="1" applyFont="1" applyFill="1" applyBorder="1" applyAlignment="1">
      <alignment horizontal="center" vertical="center"/>
    </xf>
    <xf numFmtId="169" fontId="9" fillId="0" borderId="1" xfId="6" applyNumberFormat="1" applyFont="1" applyFill="1" applyBorder="1" applyAlignment="1">
      <alignment horizontal="center" vertical="center"/>
    </xf>
    <xf numFmtId="169" fontId="9" fillId="0" borderId="1" xfId="4" applyNumberFormat="1" applyFont="1" applyBorder="1" applyAlignment="1">
      <alignment horizontal="center" vertical="center"/>
    </xf>
    <xf numFmtId="167" fontId="9" fillId="0" borderId="1" xfId="6" applyNumberFormat="1" applyFont="1" applyBorder="1" applyAlignment="1">
      <alignment horizontal="center" vertical="center"/>
    </xf>
    <xf numFmtId="169" fontId="9" fillId="0" borderId="1" xfId="6" applyNumberFormat="1" applyFont="1" applyBorder="1" applyAlignment="1">
      <alignment horizontal="center" vertical="center"/>
    </xf>
    <xf numFmtId="38" fontId="9" fillId="0" borderId="1" xfId="6" applyNumberFormat="1" applyFont="1" applyBorder="1" applyAlignment="1">
      <alignment horizontal="center" vertical="center"/>
    </xf>
    <xf numFmtId="38" fontId="9" fillId="0" borderId="1" xfId="6" applyNumberFormat="1" applyFont="1" applyFill="1" applyBorder="1" applyAlignment="1">
      <alignment horizontal="center" vertical="center"/>
    </xf>
    <xf numFmtId="164" fontId="9" fillId="0" borderId="0" xfId="6" applyNumberFormat="1" applyFont="1" applyAlignment="1">
      <alignment horizontal="center" vertical="center"/>
    </xf>
    <xf numFmtId="38" fontId="9" fillId="0" borderId="0" xfId="6" applyNumberFormat="1" applyFont="1" applyAlignment="1">
      <alignment horizontal="center" vertical="center"/>
    </xf>
    <xf numFmtId="38" fontId="9" fillId="0" borderId="0" xfId="6" applyNumberFormat="1" applyFont="1" applyBorder="1" applyAlignment="1">
      <alignment horizontal="center" vertical="center"/>
    </xf>
    <xf numFmtId="0" fontId="20" fillId="2" borderId="1" xfId="0" applyFont="1" applyFill="1" applyBorder="1" applyAlignment="1">
      <alignment horizontal="center" vertical="center" wrapText="1"/>
    </xf>
    <xf numFmtId="0" fontId="36" fillId="0" borderId="0" xfId="0" applyFont="1" applyAlignment="1">
      <alignment horizontal="left" vertical="center"/>
    </xf>
    <xf numFmtId="0" fontId="19" fillId="0" borderId="0" xfId="0" applyFont="1" applyAlignment="1">
      <alignment horizontal="left" vertical="center"/>
    </xf>
    <xf numFmtId="0" fontId="19" fillId="11" borderId="19" xfId="0" applyFont="1" applyFill="1" applyBorder="1" applyAlignment="1">
      <alignment horizontal="left" vertical="center"/>
    </xf>
    <xf numFmtId="0" fontId="19" fillId="11" borderId="17" xfId="0" applyFont="1" applyFill="1" applyBorder="1" applyAlignment="1">
      <alignment horizontal="left" vertical="center"/>
    </xf>
    <xf numFmtId="0" fontId="19" fillId="11" borderId="18" xfId="0" applyFont="1" applyFill="1" applyBorder="1" applyAlignment="1">
      <alignment horizontal="left" vertical="center"/>
    </xf>
    <xf numFmtId="0" fontId="8" fillId="0" borderId="0" xfId="0" applyFont="1" applyAlignment="1">
      <alignment horizontal="center" vertical="center"/>
    </xf>
    <xf numFmtId="0" fontId="20" fillId="2" borderId="13" xfId="0" applyFont="1" applyFill="1" applyBorder="1" applyAlignment="1">
      <alignment horizontal="center" vertical="center" wrapText="1"/>
    </xf>
    <xf numFmtId="2" fontId="9" fillId="0" borderId="3" xfId="0" applyNumberFormat="1" applyFont="1" applyBorder="1">
      <alignment vertical="center"/>
    </xf>
    <xf numFmtId="0" fontId="20" fillId="0" borderId="0" xfId="0" applyFont="1" applyAlignment="1">
      <alignment horizontal="center" vertical="center" wrapText="1"/>
    </xf>
    <xf numFmtId="0" fontId="20" fillId="2" borderId="3" xfId="0" applyFont="1" applyFill="1" applyBorder="1" applyAlignment="1">
      <alignment horizontal="center" vertical="center" wrapText="1"/>
    </xf>
    <xf numFmtId="0" fontId="9" fillId="0" borderId="3" xfId="0" applyFont="1" applyBorder="1" applyAlignment="1">
      <alignment horizontal="left" vertical="center"/>
    </xf>
    <xf numFmtId="0" fontId="19" fillId="0" borderId="0" xfId="0" applyFont="1" applyAlignment="1">
      <alignment horizontal="right" vertical="center"/>
    </xf>
    <xf numFmtId="0" fontId="19" fillId="12" borderId="58" xfId="0" applyFont="1" applyFill="1" applyBorder="1" applyAlignment="1">
      <alignment horizontal="left" vertical="center"/>
    </xf>
    <xf numFmtId="169" fontId="9" fillId="0" borderId="1" xfId="0" applyNumberFormat="1" applyFont="1" applyBorder="1" applyAlignment="1">
      <alignment horizontal="center" vertical="center"/>
    </xf>
    <xf numFmtId="0" fontId="20" fillId="0" borderId="0" xfId="0" applyFont="1" applyAlignment="1">
      <alignment horizontal="center" vertical="top" wrapText="1"/>
    </xf>
    <xf numFmtId="0" fontId="20" fillId="4" borderId="3" xfId="0" applyFont="1" applyFill="1" applyBorder="1" applyAlignment="1">
      <alignment horizontal="center" vertical="top" wrapText="1"/>
    </xf>
    <xf numFmtId="0" fontId="8" fillId="9" borderId="1" xfId="0" applyFont="1" applyFill="1" applyBorder="1" applyAlignment="1">
      <alignment horizontal="center" vertical="top" wrapText="1"/>
    </xf>
    <xf numFmtId="1" fontId="8" fillId="0" borderId="0" xfId="0" applyNumberFormat="1" applyFont="1" applyAlignment="1">
      <alignment horizontal="center" vertical="center"/>
    </xf>
    <xf numFmtId="0" fontId="26" fillId="0" borderId="0" xfId="1" applyFont="1"/>
    <xf numFmtId="0" fontId="53" fillId="0" borderId="0" xfId="1" applyFont="1"/>
    <xf numFmtId="0" fontId="53" fillId="0" borderId="0" xfId="0" applyFont="1">
      <alignment vertical="center"/>
    </xf>
    <xf numFmtId="0" fontId="53" fillId="0" borderId="0" xfId="0" applyFont="1" applyAlignment="1">
      <alignment horizontal="left" vertical="center"/>
    </xf>
    <xf numFmtId="0" fontId="53" fillId="0" borderId="0" xfId="1" applyFont="1" applyAlignment="1">
      <alignment horizontal="left" vertical="center"/>
    </xf>
    <xf numFmtId="0" fontId="53" fillId="0" borderId="0" xfId="0" applyFont="1" applyAlignment="1">
      <alignment horizontal="left"/>
    </xf>
    <xf numFmtId="164" fontId="53" fillId="0" borderId="0" xfId="6" applyNumberFormat="1" applyFont="1" applyFill="1" applyBorder="1" applyAlignment="1">
      <alignment horizontal="left" vertical="center"/>
    </xf>
    <xf numFmtId="9" fontId="53" fillId="0" borderId="0" xfId="4" applyFont="1" applyFill="1" applyBorder="1" applyAlignment="1">
      <alignment horizontal="left" vertical="center"/>
    </xf>
    <xf numFmtId="0" fontId="28" fillId="0" borderId="0" xfId="0" applyFont="1">
      <alignment vertical="center"/>
    </xf>
    <xf numFmtId="164" fontId="28" fillId="0" borderId="0" xfId="6" applyNumberFormat="1" applyFont="1" applyFill="1" applyBorder="1">
      <alignment vertical="center"/>
    </xf>
    <xf numFmtId="164" fontId="28" fillId="0" borderId="0" xfId="0" applyNumberFormat="1" applyFont="1">
      <alignment vertical="center"/>
    </xf>
    <xf numFmtId="10" fontId="28" fillId="0" borderId="0" xfId="4" applyNumberFormat="1" applyFont="1" applyFill="1" applyBorder="1">
      <alignment vertical="center"/>
    </xf>
    <xf numFmtId="0" fontId="26" fillId="0" borderId="0" xfId="1" applyFont="1" applyAlignment="1">
      <alignment horizontal="left"/>
    </xf>
    <xf numFmtId="0" fontId="26" fillId="0" borderId="0" xfId="0" applyFont="1" applyAlignment="1">
      <alignment horizontal="center"/>
    </xf>
    <xf numFmtId="0" fontId="26" fillId="0" borderId="0" xfId="0" applyFont="1" applyAlignment="1">
      <alignment horizontal="center" vertical="center" wrapText="1"/>
    </xf>
    <xf numFmtId="0" fontId="26" fillId="0" borderId="0" xfId="0" applyFont="1" applyAlignment="1">
      <alignment horizontal="center" vertical="center"/>
    </xf>
    <xf numFmtId="0" fontId="26" fillId="0" borderId="0" xfId="1" applyFont="1" applyAlignment="1">
      <alignment horizontal="center"/>
    </xf>
    <xf numFmtId="0" fontId="53" fillId="0" borderId="0" xfId="0" applyFont="1" applyAlignment="1">
      <alignment horizontal="right" vertical="center"/>
    </xf>
    <xf numFmtId="169" fontId="53" fillId="0" borderId="0" xfId="0" applyNumberFormat="1" applyFont="1" applyAlignment="1">
      <alignment horizontal="right" vertical="center"/>
    </xf>
    <xf numFmtId="9" fontId="53" fillId="0" borderId="0" xfId="4" applyFont="1" applyFill="1" applyBorder="1" applyAlignment="1"/>
    <xf numFmtId="169" fontId="53" fillId="0" borderId="0" xfId="6" applyNumberFormat="1" applyFont="1" applyFill="1" applyBorder="1" applyAlignment="1">
      <alignment horizontal="right" vertical="center"/>
    </xf>
    <xf numFmtId="169" fontId="53" fillId="0" borderId="0" xfId="4" applyNumberFormat="1" applyFont="1" applyFill="1" applyBorder="1" applyAlignment="1">
      <alignment horizontal="right" vertical="center"/>
    </xf>
    <xf numFmtId="0" fontId="26" fillId="0" borderId="0" xfId="0" applyFont="1">
      <alignment vertical="center"/>
    </xf>
    <xf numFmtId="164" fontId="26" fillId="0" borderId="0" xfId="6" applyNumberFormat="1" applyFont="1" applyFill="1" applyBorder="1">
      <alignment vertical="center"/>
    </xf>
    <xf numFmtId="0" fontId="26" fillId="0" borderId="0" xfId="0" applyFont="1" applyAlignment="1">
      <alignment horizontal="left" vertical="center"/>
    </xf>
    <xf numFmtId="169" fontId="28" fillId="0" borderId="0" xfId="6" applyNumberFormat="1" applyFont="1" applyFill="1" applyBorder="1">
      <alignment vertical="center"/>
    </xf>
    <xf numFmtId="9" fontId="53" fillId="0" borderId="0" xfId="4" applyFont="1" applyFill="1" applyBorder="1">
      <alignment vertical="center"/>
    </xf>
    <xf numFmtId="43" fontId="26" fillId="0" borderId="0" xfId="0" applyNumberFormat="1" applyFont="1">
      <alignment vertical="center"/>
    </xf>
    <xf numFmtId="0" fontId="43" fillId="0" borderId="0" xfId="0" applyFont="1" applyAlignment="1">
      <alignment horizontal="center"/>
    </xf>
    <xf numFmtId="164" fontId="53" fillId="0" borderId="0" xfId="0" applyNumberFormat="1" applyFont="1">
      <alignment vertical="center"/>
    </xf>
    <xf numFmtId="172" fontId="53" fillId="0" borderId="0" xfId="0" applyNumberFormat="1" applyFont="1">
      <alignment vertical="center"/>
    </xf>
    <xf numFmtId="0" fontId="28" fillId="0" borderId="0" xfId="0" applyFont="1" applyAlignment="1"/>
    <xf numFmtId="0" fontId="28" fillId="0" borderId="0" xfId="0" applyFont="1" applyAlignment="1">
      <alignment horizontal="left" vertical="center"/>
    </xf>
    <xf numFmtId="176" fontId="8" fillId="0" borderId="0" xfId="0" applyNumberFormat="1" applyFont="1" applyAlignment="1">
      <alignment horizontal="center" vertical="center"/>
    </xf>
    <xf numFmtId="1" fontId="7" fillId="0" borderId="0" xfId="0" applyNumberFormat="1" applyFont="1" applyAlignment="1">
      <alignment horizontal="right" vertical="center"/>
    </xf>
    <xf numFmtId="0" fontId="27" fillId="0" borderId="0" xfId="0" applyFont="1" applyAlignment="1">
      <alignment horizontal="left" vertical="center"/>
    </xf>
    <xf numFmtId="0" fontId="7" fillId="15" borderId="1" xfId="0" applyFont="1" applyFill="1" applyBorder="1" applyAlignment="1">
      <alignment vertical="center" wrapText="1"/>
    </xf>
    <xf numFmtId="0" fontId="7" fillId="23" borderId="1" xfId="0" applyFont="1" applyFill="1" applyBorder="1" applyAlignment="1">
      <alignment vertical="center" wrapText="1"/>
    </xf>
    <xf numFmtId="0" fontId="7" fillId="24" borderId="1" xfId="0" applyFont="1" applyFill="1" applyBorder="1" applyAlignment="1">
      <alignment vertical="center" wrapText="1"/>
    </xf>
    <xf numFmtId="0" fontId="20" fillId="10" borderId="1" xfId="0" applyFont="1" applyFill="1" applyBorder="1" applyAlignment="1">
      <alignment horizontal="center" vertical="center" wrapText="1"/>
    </xf>
    <xf numFmtId="0" fontId="45" fillId="5" borderId="1" xfId="0" applyFont="1" applyFill="1" applyBorder="1" applyAlignment="1">
      <alignment horizontal="center" vertical="top" wrapText="1"/>
    </xf>
    <xf numFmtId="0" fontId="45" fillId="6" borderId="1" xfId="0" applyFont="1" applyFill="1" applyBorder="1" applyAlignment="1">
      <alignment horizontal="center" vertical="top" wrapText="1"/>
    </xf>
    <xf numFmtId="0" fontId="45" fillId="19" borderId="1" xfId="0" applyFont="1" applyFill="1" applyBorder="1" applyAlignment="1">
      <alignment horizontal="center" vertical="center" wrapText="1"/>
    </xf>
    <xf numFmtId="0" fontId="45" fillId="20" borderId="1" xfId="0" applyFont="1" applyFill="1" applyBorder="1" applyAlignment="1">
      <alignment horizontal="center" vertical="center" wrapText="1"/>
    </xf>
    <xf numFmtId="0" fontId="45" fillId="21" borderId="1" xfId="0" applyFont="1" applyFill="1" applyBorder="1" applyAlignment="1">
      <alignment horizontal="center" vertical="center" wrapText="1"/>
    </xf>
    <xf numFmtId="0" fontId="35" fillId="0" borderId="0" xfId="0" applyFont="1">
      <alignment vertical="center"/>
    </xf>
    <xf numFmtId="0" fontId="20" fillId="14" borderId="1" xfId="0" applyFont="1" applyFill="1" applyBorder="1" applyAlignment="1">
      <alignment horizontal="center" vertical="center" wrapText="1"/>
    </xf>
    <xf numFmtId="38" fontId="9" fillId="0" borderId="1" xfId="0" applyNumberFormat="1" applyFont="1" applyBorder="1" applyAlignment="1">
      <alignment horizontal="center" vertical="center"/>
    </xf>
    <xf numFmtId="2" fontId="7" fillId="0" borderId="0" xfId="0" applyNumberFormat="1" applyFont="1" applyAlignment="1">
      <alignment vertical="center" wrapText="1"/>
    </xf>
    <xf numFmtId="43" fontId="7" fillId="0" borderId="0" xfId="0" applyNumberFormat="1" applyFont="1" applyAlignment="1">
      <alignment vertical="center" wrapText="1"/>
    </xf>
    <xf numFmtId="1" fontId="7" fillId="0" borderId="0" xfId="0" applyNumberFormat="1" applyFont="1" applyAlignment="1">
      <alignment vertical="center" wrapText="1"/>
    </xf>
    <xf numFmtId="0" fontId="13" fillId="0" borderId="0" xfId="7" applyFont="1" applyAlignment="1">
      <alignment horizontal="center" vertical="center" wrapText="1"/>
    </xf>
    <xf numFmtId="164" fontId="13" fillId="0" borderId="0" xfId="6" applyNumberFormat="1" applyFont="1" applyFill="1" applyBorder="1" applyAlignment="1"/>
    <xf numFmtId="43" fontId="37" fillId="0" borderId="0" xfId="7" applyNumberFormat="1" applyFont="1"/>
    <xf numFmtId="164" fontId="37" fillId="0" borderId="0" xfId="6" applyNumberFormat="1" applyFont="1" applyAlignment="1"/>
    <xf numFmtId="164" fontId="37" fillId="0" borderId="0" xfId="7" applyNumberFormat="1" applyFont="1"/>
    <xf numFmtId="0" fontId="41" fillId="0" borderId="0" xfId="7" applyFont="1" applyAlignment="1">
      <alignment horizontal="left" vertical="center" wrapText="1"/>
    </xf>
    <xf numFmtId="0" fontId="41" fillId="0" borderId="0" xfId="7" applyFont="1" applyAlignment="1">
      <alignment horizontal="center" vertical="center" wrapText="1"/>
    </xf>
    <xf numFmtId="164" fontId="41" fillId="0" borderId="0" xfId="0" applyNumberFormat="1" applyFont="1" applyAlignment="1">
      <alignment horizontal="center" vertical="center" wrapText="1"/>
    </xf>
    <xf numFmtId="164" fontId="37" fillId="0" borderId="0" xfId="6" applyNumberFormat="1" applyFont="1" applyFill="1" applyBorder="1" applyAlignment="1"/>
    <xf numFmtId="9" fontId="37" fillId="0" borderId="0" xfId="4" applyFont="1" applyFill="1" applyBorder="1" applyAlignment="1"/>
    <xf numFmtId="164" fontId="37" fillId="0" borderId="0" xfId="7" applyNumberFormat="1" applyFont="1" applyAlignment="1">
      <alignment horizontal="right"/>
    </xf>
    <xf numFmtId="1" fontId="37" fillId="0" borderId="0" xfId="7" applyNumberFormat="1" applyFont="1" applyAlignment="1">
      <alignment horizontal="center"/>
    </xf>
    <xf numFmtId="0" fontId="41" fillId="0" borderId="0" xfId="7" applyFont="1" applyAlignment="1">
      <alignment horizontal="left"/>
    </xf>
    <xf numFmtId="0" fontId="37" fillId="0" borderId="0" xfId="7" applyFont="1" applyAlignment="1">
      <alignment horizontal="left" wrapText="1"/>
    </xf>
    <xf numFmtId="0" fontId="41" fillId="0" borderId="0" xfId="7" applyFont="1" applyAlignment="1">
      <alignment horizontal="center" vertical="center"/>
    </xf>
    <xf numFmtId="0" fontId="35" fillId="0" borderId="0" xfId="0" applyFont="1" applyAlignment="1">
      <alignment horizontal="left" vertical="center"/>
    </xf>
    <xf numFmtId="0" fontId="38" fillId="0" borderId="0" xfId="7" applyFont="1"/>
    <xf numFmtId="167" fontId="37" fillId="0" borderId="0" xfId="7" applyNumberFormat="1" applyFont="1" applyAlignment="1">
      <alignment horizontal="right"/>
    </xf>
    <xf numFmtId="1" fontId="37" fillId="0" borderId="0" xfId="7" applyNumberFormat="1" applyFont="1"/>
    <xf numFmtId="0" fontId="37" fillId="0" borderId="0" xfId="7" applyFont="1" applyAlignment="1">
      <alignment horizontal="center" vertical="top" wrapText="1"/>
    </xf>
    <xf numFmtId="0" fontId="7" fillId="0" borderId="1" xfId="7" applyFont="1" applyBorder="1" applyAlignment="1">
      <alignment horizontal="left"/>
    </xf>
    <xf numFmtId="38" fontId="7" fillId="0" borderId="1" xfId="6" applyNumberFormat="1" applyFont="1" applyBorder="1" applyAlignment="1">
      <alignment horizontal="center"/>
    </xf>
    <xf numFmtId="38" fontId="7" fillId="0" borderId="1" xfId="7" applyNumberFormat="1" applyFont="1" applyBorder="1" applyAlignment="1">
      <alignment horizontal="center"/>
    </xf>
    <xf numFmtId="0" fontId="9" fillId="0" borderId="0" xfId="7" applyFont="1"/>
    <xf numFmtId="164" fontId="9" fillId="0" borderId="0" xfId="6" applyNumberFormat="1" applyFont="1" applyFill="1" applyBorder="1" applyAlignment="1"/>
    <xf numFmtId="164" fontId="9" fillId="0" borderId="0" xfId="7" applyNumberFormat="1" applyFont="1"/>
    <xf numFmtId="0" fontId="9" fillId="0" borderId="0" xfId="7" applyFont="1" applyAlignment="1">
      <alignment horizontal="left"/>
    </xf>
    <xf numFmtId="164" fontId="9" fillId="0" borderId="0" xfId="6" applyNumberFormat="1" applyFont="1" applyAlignment="1"/>
    <xf numFmtId="174" fontId="9" fillId="0" borderId="0" xfId="7" applyNumberFormat="1" applyFont="1"/>
    <xf numFmtId="0" fontId="7" fillId="0" borderId="1" xfId="0" applyFont="1" applyBorder="1" applyAlignment="1">
      <alignment horizontal="left" vertical="top"/>
    </xf>
    <xf numFmtId="9" fontId="9" fillId="0" borderId="1" xfId="4" applyFont="1" applyFill="1" applyBorder="1" applyAlignment="1">
      <alignment horizontal="center" vertical="center"/>
    </xf>
    <xf numFmtId="40" fontId="9" fillId="0" borderId="0" xfId="6" applyNumberFormat="1" applyFont="1" applyAlignment="1">
      <alignment horizontal="center" vertical="center"/>
    </xf>
    <xf numFmtId="0" fontId="21" fillId="0" borderId="0" xfId="5" applyFont="1" applyFill="1" applyBorder="1" applyAlignment="1">
      <alignment horizontal="left" vertical="top"/>
    </xf>
    <xf numFmtId="0" fontId="21" fillId="0" borderId="0" xfId="5" applyFont="1" applyFill="1" applyBorder="1" applyAlignment="1">
      <alignment vertical="top"/>
    </xf>
    <xf numFmtId="9" fontId="9" fillId="0" borderId="3" xfId="4" applyFont="1" applyFill="1" applyBorder="1" applyAlignment="1">
      <alignment horizontal="center" vertical="center"/>
    </xf>
    <xf numFmtId="9" fontId="9" fillId="0" borderId="0" xfId="4" applyFont="1" applyFill="1" applyBorder="1" applyAlignment="1">
      <alignment horizontal="center" vertical="center"/>
    </xf>
    <xf numFmtId="0" fontId="9" fillId="0" borderId="1" xfId="4" applyNumberFormat="1" applyFont="1" applyFill="1" applyBorder="1" applyAlignment="1">
      <alignment horizontal="center" vertical="center"/>
    </xf>
    <xf numFmtId="1" fontId="9" fillId="0" borderId="1" xfId="0" applyNumberFormat="1" applyFont="1" applyBorder="1" applyAlignment="1">
      <alignment horizontal="center" vertical="center"/>
    </xf>
    <xf numFmtId="9" fontId="9" fillId="0" borderId="0" xfId="4" applyFont="1" applyFill="1" applyBorder="1" applyAlignment="1">
      <alignment horizontal="center" vertical="center" wrapText="1"/>
    </xf>
    <xf numFmtId="9" fontId="9" fillId="0" borderId="1" xfId="4" applyFont="1" applyFill="1" applyBorder="1" applyAlignment="1">
      <alignment horizontal="center" vertical="center" wrapText="1"/>
    </xf>
    <xf numFmtId="169" fontId="7" fillId="0" borderId="0" xfId="6" applyNumberFormat="1" applyFont="1" applyFill="1" applyBorder="1" applyAlignment="1">
      <alignment horizontal="center" vertical="top"/>
    </xf>
    <xf numFmtId="169" fontId="7" fillId="0" borderId="0" xfId="6" applyNumberFormat="1" applyFont="1" applyFill="1" applyBorder="1" applyAlignment="1">
      <alignment vertical="top"/>
    </xf>
    <xf numFmtId="38" fontId="7" fillId="0" borderId="1" xfId="6" applyNumberFormat="1" applyFont="1" applyFill="1" applyBorder="1" applyAlignment="1">
      <alignment horizontal="center" vertical="center"/>
    </xf>
    <xf numFmtId="0" fontId="34" fillId="10" borderId="1" xfId="0" applyFont="1" applyFill="1" applyBorder="1" applyAlignment="1">
      <alignment horizontal="center" vertical="center" wrapText="1"/>
    </xf>
    <xf numFmtId="0" fontId="9" fillId="13" borderId="0" xfId="0" applyFont="1" applyFill="1">
      <alignment vertical="center"/>
    </xf>
    <xf numFmtId="9" fontId="46" fillId="0" borderId="1" xfId="0" applyNumberFormat="1" applyFont="1" applyBorder="1" applyAlignment="1">
      <alignment horizontal="center"/>
    </xf>
    <xf numFmtId="1" fontId="20" fillId="0" borderId="1" xfId="0" applyNumberFormat="1" applyFont="1" applyBorder="1" applyAlignment="1">
      <alignment horizontal="center"/>
    </xf>
    <xf numFmtId="1" fontId="56" fillId="0" borderId="1" xfId="0" applyNumberFormat="1" applyFont="1" applyBorder="1" applyAlignment="1">
      <alignment horizontal="center"/>
    </xf>
    <xf numFmtId="0" fontId="7" fillId="0" borderId="1" xfId="0" applyFont="1" applyBorder="1" applyAlignment="1"/>
    <xf numFmtId="0" fontId="18" fillId="0" borderId="15" xfId="0" applyFont="1" applyBorder="1" applyAlignment="1">
      <alignment horizontal="center" vertical="center"/>
    </xf>
    <xf numFmtId="0" fontId="8" fillId="13" borderId="0" xfId="0" applyFont="1" applyFill="1" applyAlignment="1">
      <alignment horizontal="center" vertical="center"/>
    </xf>
    <xf numFmtId="169" fontId="18" fillId="0" borderId="3" xfId="0" applyNumberFormat="1" applyFont="1" applyBorder="1" applyAlignment="1">
      <alignment horizontal="center" vertical="center"/>
    </xf>
    <xf numFmtId="1" fontId="7" fillId="0" borderId="1" xfId="0" applyNumberFormat="1" applyFont="1" applyBorder="1" applyAlignment="1">
      <alignment horizontal="left" vertical="center"/>
    </xf>
    <xf numFmtId="0" fontId="48" fillId="0" borderId="0" xfId="0" applyFont="1" applyAlignment="1">
      <alignment horizontal="center" vertical="center" wrapText="1"/>
    </xf>
    <xf numFmtId="0" fontId="10" fillId="0" borderId="0" xfId="0" applyFont="1">
      <alignment vertical="center"/>
    </xf>
    <xf numFmtId="0" fontId="54" fillId="26" borderId="1" xfId="0" applyFont="1" applyFill="1" applyBorder="1" applyAlignment="1">
      <alignment horizontal="center" vertical="center"/>
    </xf>
    <xf numFmtId="0" fontId="7" fillId="17" borderId="1" xfId="0" applyFont="1" applyFill="1" applyBorder="1" applyAlignment="1">
      <alignment vertical="center" wrapText="1"/>
    </xf>
    <xf numFmtId="0" fontId="7" fillId="17" borderId="0" xfId="0" applyFont="1" applyFill="1">
      <alignment vertical="center"/>
    </xf>
    <xf numFmtId="0" fontId="7" fillId="17" borderId="2" xfId="0" applyFont="1" applyFill="1" applyBorder="1" applyAlignment="1">
      <alignment vertical="center" wrapText="1"/>
    </xf>
    <xf numFmtId="0" fontId="45" fillId="0" borderId="0" xfId="0" applyFont="1">
      <alignment vertical="center"/>
    </xf>
    <xf numFmtId="9" fontId="7" fillId="0" borderId="1" xfId="4" applyFont="1" applyFill="1" applyBorder="1" applyAlignment="1">
      <alignment horizontal="center" vertical="center"/>
    </xf>
    <xf numFmtId="0" fontId="9" fillId="0" borderId="29" xfId="0" applyFont="1" applyBorder="1">
      <alignment vertical="center"/>
    </xf>
    <xf numFmtId="9" fontId="9" fillId="0" borderId="29" xfId="4" applyFont="1" applyFill="1" applyBorder="1" applyAlignment="1">
      <alignment horizontal="center" vertical="center"/>
    </xf>
    <xf numFmtId="169" fontId="9" fillId="0" borderId="29" xfId="4" applyNumberFormat="1" applyFont="1" applyFill="1" applyBorder="1" applyAlignment="1">
      <alignment horizontal="center" vertical="center"/>
    </xf>
    <xf numFmtId="1" fontId="9" fillId="0" borderId="29" xfId="0" applyNumberFormat="1" applyFont="1" applyBorder="1" applyAlignment="1">
      <alignment horizontal="center" vertical="center"/>
    </xf>
    <xf numFmtId="0" fontId="19" fillId="0" borderId="0" xfId="0" applyFont="1" applyAlignment="1">
      <alignment vertical="center" wrapText="1"/>
    </xf>
    <xf numFmtId="0" fontId="21" fillId="0" borderId="0" xfId="5" applyFont="1" applyFill="1" applyBorder="1" applyAlignment="1">
      <alignment vertical="center"/>
    </xf>
    <xf numFmtId="0" fontId="21" fillId="0" borderId="0" xfId="5" applyFont="1" applyAlignment="1">
      <alignment horizontal="left" vertical="top"/>
    </xf>
    <xf numFmtId="0" fontId="7" fillId="0" borderId="0" xfId="1" applyFont="1"/>
    <xf numFmtId="9" fontId="7" fillId="0" borderId="0" xfId="4" applyFont="1" applyFill="1" applyAlignment="1">
      <alignment vertical="center"/>
    </xf>
    <xf numFmtId="0" fontId="8" fillId="0" borderId="0" xfId="1" applyFont="1"/>
    <xf numFmtId="168" fontId="7" fillId="0" borderId="0" xfId="0" applyNumberFormat="1" applyFont="1">
      <alignment vertical="center"/>
    </xf>
    <xf numFmtId="9" fontId="7" fillId="0" borderId="0" xfId="4" applyFont="1" applyFill="1" applyBorder="1" applyAlignment="1">
      <alignment horizontal="right" vertical="center"/>
    </xf>
    <xf numFmtId="3" fontId="7" fillId="0" borderId="0" xfId="0" applyNumberFormat="1" applyFont="1" applyAlignment="1">
      <alignment horizontal="right" vertical="center"/>
    </xf>
    <xf numFmtId="164" fontId="7" fillId="0" borderId="0" xfId="6" applyNumberFormat="1" applyFont="1" applyFill="1" applyBorder="1" applyAlignment="1">
      <alignment horizontal="right" vertical="center"/>
    </xf>
    <xf numFmtId="3" fontId="7" fillId="0" borderId="0" xfId="0" applyNumberFormat="1" applyFont="1" applyAlignment="1">
      <alignment vertical="center" wrapText="1"/>
    </xf>
    <xf numFmtId="9" fontId="7" fillId="0" borderId="0" xfId="4" applyFont="1" applyFill="1" applyBorder="1" applyAlignment="1">
      <alignment horizontal="right"/>
    </xf>
    <xf numFmtId="0" fontId="7" fillId="0" borderId="6" xfId="0" applyFont="1" applyBorder="1" applyAlignment="1">
      <alignment horizontal="left" vertical="center"/>
    </xf>
    <xf numFmtId="0" fontId="9" fillId="0" borderId="6" xfId="0" applyFont="1" applyBorder="1">
      <alignment vertical="center"/>
    </xf>
    <xf numFmtId="0" fontId="8" fillId="0" borderId="2" xfId="1" applyFont="1" applyBorder="1"/>
    <xf numFmtId="0" fontId="7" fillId="0" borderId="55" xfId="1" applyFont="1" applyBorder="1"/>
    <xf numFmtId="0" fontId="7" fillId="0" borderId="3" xfId="1" applyFont="1" applyBorder="1"/>
    <xf numFmtId="0" fontId="11" fillId="13" borderId="0" xfId="7" applyFill="1"/>
    <xf numFmtId="1" fontId="18" fillId="0" borderId="3" xfId="0" applyNumberFormat="1" applyFont="1" applyBorder="1" applyAlignment="1">
      <alignment horizontal="center" vertical="center"/>
    </xf>
    <xf numFmtId="0" fontId="0" fillId="13" borderId="0" xfId="0" applyFill="1">
      <alignment vertical="center"/>
    </xf>
    <xf numFmtId="0" fontId="34" fillId="10" borderId="15"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29" xfId="0" applyFont="1" applyBorder="1" applyAlignment="1">
      <alignment horizontal="center" vertical="center" wrapText="1"/>
    </xf>
    <xf numFmtId="0" fontId="18" fillId="18" borderId="1" xfId="0" applyFont="1" applyFill="1" applyBorder="1" applyAlignment="1">
      <alignment horizontal="center" vertical="center" wrapText="1"/>
    </xf>
    <xf numFmtId="0" fontId="18" fillId="0" borderId="15" xfId="0" applyFont="1" applyBorder="1" applyAlignment="1">
      <alignment horizontal="center" vertical="center" wrapText="1"/>
    </xf>
    <xf numFmtId="0" fontId="18" fillId="0" borderId="29" xfId="0" applyFont="1" applyBorder="1" applyAlignment="1">
      <alignment horizontal="center" vertical="center"/>
    </xf>
    <xf numFmtId="1" fontId="18" fillId="0" borderId="29" xfId="0" applyNumberFormat="1" applyFont="1" applyBorder="1" applyAlignment="1">
      <alignment horizontal="center" vertical="center" wrapText="1"/>
    </xf>
    <xf numFmtId="1" fontId="18" fillId="0" borderId="15" xfId="0" applyNumberFormat="1" applyFont="1" applyBorder="1" applyAlignment="1">
      <alignment horizontal="center" vertical="center"/>
    </xf>
    <xf numFmtId="169" fontId="7" fillId="0" borderId="1" xfId="0" applyNumberFormat="1" applyFont="1" applyBorder="1" applyAlignment="1">
      <alignment horizontal="center" vertical="center" wrapText="1"/>
    </xf>
    <xf numFmtId="169" fontId="7" fillId="0" borderId="1" xfId="4" applyNumberFormat="1" applyFont="1" applyFill="1" applyBorder="1" applyAlignment="1">
      <alignment horizontal="center" vertical="center"/>
    </xf>
    <xf numFmtId="0" fontId="7" fillId="0" borderId="1" xfId="0" applyFont="1" applyBorder="1" applyAlignment="1">
      <alignment horizontal="center" vertical="center" wrapText="1"/>
    </xf>
    <xf numFmtId="169" fontId="7" fillId="0" borderId="1" xfId="0" applyNumberFormat="1" applyFont="1" applyBorder="1">
      <alignment vertical="center"/>
    </xf>
    <xf numFmtId="0" fontId="7" fillId="0" borderId="1" xfId="0" applyFont="1" applyBorder="1" applyAlignment="1">
      <alignment vertical="top" wrapText="1"/>
    </xf>
    <xf numFmtId="169" fontId="7" fillId="0" borderId="1" xfId="0" applyNumberFormat="1" applyFont="1" applyBorder="1" applyAlignment="1">
      <alignment horizontal="left" vertical="center" wrapText="1"/>
    </xf>
    <xf numFmtId="0" fontId="15" fillId="0" borderId="0" xfId="0" applyFont="1" applyAlignment="1">
      <alignment horizontal="left" vertical="center"/>
    </xf>
    <xf numFmtId="0" fontId="18" fillId="0" borderId="1" xfId="0" applyFont="1" applyBorder="1" applyAlignment="1">
      <alignment vertical="top" wrapText="1"/>
    </xf>
    <xf numFmtId="0" fontId="9" fillId="0" borderId="1" xfId="0" applyFont="1" applyBorder="1" applyAlignment="1">
      <alignment vertical="top" wrapText="1"/>
    </xf>
    <xf numFmtId="0" fontId="19" fillId="0" borderId="0" xfId="0" applyFont="1" applyAlignment="1">
      <alignment vertical="top"/>
    </xf>
    <xf numFmtId="9" fontId="19" fillId="0" borderId="0" xfId="4" applyFont="1" applyFill="1" applyBorder="1" applyAlignment="1">
      <alignment horizontal="center" vertical="center"/>
    </xf>
    <xf numFmtId="169" fontId="19" fillId="0" borderId="0" xfId="0" applyNumberFormat="1" applyFont="1">
      <alignment vertical="center"/>
    </xf>
    <xf numFmtId="0" fontId="19" fillId="0" borderId="0" xfId="0" applyFont="1" applyAlignment="1">
      <alignment vertical="top" wrapText="1"/>
    </xf>
    <xf numFmtId="0" fontId="19" fillId="0" borderId="0" xfId="0" applyFont="1" applyAlignment="1">
      <alignment horizontal="left" vertical="top" wrapText="1"/>
    </xf>
    <xf numFmtId="0" fontId="20" fillId="0" borderId="0" xfId="0" applyFont="1">
      <alignment vertical="center"/>
    </xf>
    <xf numFmtId="0" fontId="20" fillId="0" borderId="0" xfId="0" applyFont="1" applyAlignment="1">
      <alignment horizontal="center" vertical="center"/>
    </xf>
    <xf numFmtId="0" fontId="19" fillId="0" borderId="0" xfId="0" applyFont="1" applyAlignment="1">
      <alignment horizontal="right" vertical="top" wrapText="1"/>
    </xf>
    <xf numFmtId="0" fontId="19" fillId="0" borderId="0" xfId="0" applyFont="1" applyAlignment="1">
      <alignment horizontal="center" vertical="top" wrapText="1"/>
    </xf>
    <xf numFmtId="9" fontId="19" fillId="0" borderId="0" xfId="4" applyFont="1" applyFill="1" applyBorder="1" applyAlignment="1">
      <alignment vertical="top" wrapText="1"/>
    </xf>
    <xf numFmtId="0" fontId="9" fillId="0" borderId="0" xfId="0" applyFont="1" applyAlignment="1">
      <alignment vertical="top"/>
    </xf>
    <xf numFmtId="0" fontId="14" fillId="0" borderId="0" xfId="7" applyFont="1"/>
    <xf numFmtId="0" fontId="63" fillId="0" borderId="0" xfId="7" applyFont="1"/>
    <xf numFmtId="0" fontId="63" fillId="0" borderId="0" xfId="7" applyFont="1" applyAlignment="1">
      <alignment vertical="top"/>
    </xf>
    <xf numFmtId="0" fontId="63" fillId="0" borderId="0" xfId="7" applyFont="1" applyAlignment="1">
      <alignment vertical="top" wrapText="1"/>
    </xf>
    <xf numFmtId="0" fontId="63" fillId="0" borderId="0" xfId="0" applyFont="1" applyAlignment="1">
      <alignment horizontal="center" vertical="center"/>
    </xf>
    <xf numFmtId="0" fontId="63" fillId="0" borderId="0" xfId="0" applyFont="1" applyAlignment="1">
      <alignment horizontal="center" vertical="center" wrapText="1"/>
    </xf>
    <xf numFmtId="0" fontId="63" fillId="0" borderId="0" xfId="7" applyFont="1" applyAlignment="1">
      <alignment horizontal="center" vertical="center" wrapText="1"/>
    </xf>
    <xf numFmtId="0" fontId="63" fillId="0" borderId="0" xfId="7" applyFont="1" applyAlignment="1">
      <alignment horizontal="center"/>
    </xf>
    <xf numFmtId="0" fontId="63" fillId="0" borderId="0" xfId="7" applyFont="1" applyAlignment="1">
      <alignment horizontal="center" vertical="center"/>
    </xf>
    <xf numFmtId="0" fontId="63" fillId="0" borderId="0" xfId="0" applyFont="1" applyAlignment="1"/>
    <xf numFmtId="164" fontId="63" fillId="0" borderId="0" xfId="0" applyNumberFormat="1" applyFont="1" applyAlignment="1">
      <alignment horizontal="center"/>
    </xf>
    <xf numFmtId="167" fontId="63" fillId="0" borderId="0" xfId="0" applyNumberFormat="1" applyFont="1" applyAlignment="1">
      <alignment horizontal="center"/>
    </xf>
    <xf numFmtId="167" fontId="63" fillId="0" borderId="0" xfId="4" applyNumberFormat="1" applyFont="1" applyFill="1" applyBorder="1" applyAlignment="1">
      <alignment horizontal="center"/>
    </xf>
    <xf numFmtId="170" fontId="63" fillId="0" borderId="0" xfId="6" applyNumberFormat="1" applyFont="1" applyFill="1" applyBorder="1" applyAlignment="1"/>
    <xf numFmtId="164" fontId="63" fillId="0" borderId="0" xfId="6" applyNumberFormat="1" applyFont="1" applyFill="1" applyBorder="1" applyAlignment="1">
      <alignment horizontal="center"/>
    </xf>
    <xf numFmtId="0" fontId="63" fillId="0" borderId="0" xfId="4" applyNumberFormat="1" applyFont="1" applyFill="1" applyBorder="1" applyAlignment="1"/>
    <xf numFmtId="9" fontId="63" fillId="0" borderId="0" xfId="7" applyNumberFormat="1" applyFont="1"/>
    <xf numFmtId="0" fontId="63" fillId="0" borderId="0" xfId="7" applyFont="1" applyAlignment="1">
      <alignment horizontal="center" vertical="top" wrapText="1"/>
    </xf>
    <xf numFmtId="164" fontId="63" fillId="0" borderId="0" xfId="7" applyNumberFormat="1" applyFont="1" applyAlignment="1">
      <alignment horizontal="center" vertical="top" wrapText="1"/>
    </xf>
    <xf numFmtId="0" fontId="63" fillId="0" borderId="0" xfId="7" applyFont="1" applyAlignment="1">
      <alignment horizontal="left"/>
    </xf>
    <xf numFmtId="164" fontId="63" fillId="0" borderId="0" xfId="7" applyNumberFormat="1" applyFont="1"/>
    <xf numFmtId="43" fontId="63" fillId="0" borderId="0" xfId="6" applyFont="1" applyFill="1" applyBorder="1" applyAlignment="1"/>
    <xf numFmtId="164" fontId="63" fillId="0" borderId="0" xfId="6" applyNumberFormat="1" applyFont="1" applyFill="1" applyBorder="1" applyAlignment="1"/>
    <xf numFmtId="0" fontId="64" fillId="0" borderId="0" xfId="7" applyFont="1"/>
    <xf numFmtId="0" fontId="7" fillId="0" borderId="10" xfId="0" applyFont="1" applyBorder="1">
      <alignment vertical="center"/>
    </xf>
    <xf numFmtId="0" fontId="7" fillId="0" borderId="11" xfId="0" applyFont="1" applyBorder="1">
      <alignment vertical="center"/>
    </xf>
    <xf numFmtId="0" fontId="7" fillId="0" borderId="4" xfId="0" applyFont="1" applyBorder="1" applyAlignment="1">
      <alignment horizontal="center"/>
    </xf>
    <xf numFmtId="0" fontId="7" fillId="0" borderId="6" xfId="0" applyFont="1" applyBorder="1" applyAlignment="1">
      <alignment horizontal="center"/>
    </xf>
    <xf numFmtId="0" fontId="7" fillId="0" borderId="8" xfId="0" applyFont="1" applyBorder="1" applyAlignment="1">
      <alignment horizontal="center"/>
    </xf>
    <xf numFmtId="9" fontId="7" fillId="0" borderId="5" xfId="0" applyNumberFormat="1" applyFont="1" applyBorder="1" applyAlignment="1">
      <alignment horizontal="center"/>
    </xf>
    <xf numFmtId="9" fontId="7" fillId="0" borderId="7" xfId="0" applyNumberFormat="1" applyFont="1" applyBorder="1" applyAlignment="1">
      <alignment horizontal="center"/>
    </xf>
    <xf numFmtId="9" fontId="7" fillId="0" borderId="9" xfId="0" applyNumberFormat="1" applyFont="1" applyBorder="1" applyAlignment="1">
      <alignment horizontal="center"/>
    </xf>
    <xf numFmtId="164" fontId="7" fillId="0" borderId="0" xfId="6" applyNumberFormat="1" applyFont="1" applyFill="1" applyBorder="1">
      <alignment vertical="center"/>
    </xf>
    <xf numFmtId="0" fontId="9" fillId="0" borderId="1" xfId="0" applyFont="1" applyBorder="1" applyAlignment="1">
      <alignment horizontal="left" vertical="top"/>
    </xf>
    <xf numFmtId="0" fontId="7" fillId="0" borderId="1" xfId="0" applyFont="1" applyBorder="1" applyAlignment="1">
      <alignment horizontal="left"/>
    </xf>
    <xf numFmtId="0" fontId="9" fillId="0" borderId="1" xfId="0" applyFont="1" applyBorder="1" applyAlignment="1">
      <alignment horizontal="center"/>
    </xf>
    <xf numFmtId="9" fontId="9" fillId="0" borderId="1" xfId="0" applyNumberFormat="1" applyFont="1" applyBorder="1" applyAlignment="1">
      <alignment horizontal="center"/>
    </xf>
    <xf numFmtId="0" fontId="65" fillId="0" borderId="1" xfId="5" applyFont="1" applyFill="1" applyBorder="1" applyAlignment="1">
      <alignment horizontal="left"/>
    </xf>
    <xf numFmtId="167" fontId="7" fillId="0" borderId="7" xfId="4" applyNumberFormat="1" applyFont="1" applyFill="1" applyBorder="1" applyAlignment="1">
      <alignment horizontal="center" vertical="center"/>
    </xf>
    <xf numFmtId="167" fontId="9" fillId="0" borderId="11" xfId="0" applyNumberFormat="1" applyFont="1" applyBorder="1" applyAlignment="1">
      <alignment horizontal="center" vertical="top"/>
    </xf>
    <xf numFmtId="167" fontId="7" fillId="0" borderId="9" xfId="4" applyNumberFormat="1" applyFont="1" applyFill="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38" fontId="9" fillId="0" borderId="0" xfId="6" applyNumberFormat="1" applyFont="1" applyFill="1" applyBorder="1" applyAlignment="1">
      <alignment horizontal="center" vertical="top"/>
    </xf>
    <xf numFmtId="38" fontId="9" fillId="0" borderId="11" xfId="6" applyNumberFormat="1" applyFont="1" applyFill="1" applyBorder="1" applyAlignment="1">
      <alignment horizontal="center" vertical="top"/>
    </xf>
    <xf numFmtId="169" fontId="7" fillId="0" borderId="1" xfId="6" applyNumberFormat="1" applyFont="1" applyBorder="1" applyAlignment="1">
      <alignment horizontal="center" vertical="center"/>
    </xf>
    <xf numFmtId="169" fontId="19" fillId="0" borderId="0" xfId="6" applyNumberFormat="1" applyFont="1" applyFill="1" applyBorder="1" applyAlignment="1">
      <alignment horizontal="center" vertical="center"/>
    </xf>
    <xf numFmtId="169" fontId="19" fillId="0" borderId="0" xfId="0" applyNumberFormat="1" applyFont="1" applyAlignment="1">
      <alignment vertical="top"/>
    </xf>
    <xf numFmtId="169" fontId="20" fillId="0" borderId="0" xfId="0" applyNumberFormat="1" applyFont="1" applyAlignment="1">
      <alignment horizontal="center" vertical="center"/>
    </xf>
    <xf numFmtId="169" fontId="20" fillId="0" borderId="0" xfId="0" applyNumberFormat="1" applyFont="1" applyAlignment="1">
      <alignment horizontal="center" vertical="center" wrapText="1"/>
    </xf>
    <xf numFmtId="169" fontId="19" fillId="0" borderId="0" xfId="0" applyNumberFormat="1" applyFont="1" applyAlignment="1">
      <alignment horizontal="center" vertical="top" wrapText="1"/>
    </xf>
    <xf numFmtId="169" fontId="19" fillId="0" borderId="0" xfId="4" applyNumberFormat="1" applyFont="1" applyFill="1" applyBorder="1" applyAlignment="1">
      <alignment vertical="top" wrapText="1"/>
    </xf>
    <xf numFmtId="169" fontId="19" fillId="0" borderId="0" xfId="4" quotePrefix="1" applyNumberFormat="1" applyFont="1" applyFill="1" applyBorder="1" applyAlignment="1">
      <alignment vertical="top" wrapText="1"/>
    </xf>
    <xf numFmtId="169" fontId="9" fillId="0" borderId="0" xfId="0" applyNumberFormat="1" applyFont="1">
      <alignment vertical="center"/>
    </xf>
    <xf numFmtId="167" fontId="9" fillId="0" borderId="0" xfId="0" applyNumberFormat="1" applyFont="1" applyAlignment="1">
      <alignment horizontal="center" vertical="top"/>
    </xf>
    <xf numFmtId="0" fontId="7" fillId="0" borderId="8" xfId="0" applyFont="1" applyBorder="1" applyAlignment="1">
      <alignment horizontal="left" vertical="center"/>
    </xf>
    <xf numFmtId="167" fontId="7" fillId="0" borderId="1" xfId="0" applyNumberFormat="1" applyFont="1" applyBorder="1" applyAlignment="1">
      <alignment horizontal="center"/>
    </xf>
    <xf numFmtId="177" fontId="7" fillId="0" borderId="1" xfId="6" applyNumberFormat="1" applyFont="1" applyBorder="1" applyAlignment="1">
      <alignment horizontal="center"/>
    </xf>
    <xf numFmtId="0" fontId="9" fillId="0" borderId="1" xfId="0" applyFont="1" applyBorder="1" applyAlignment="1">
      <alignment vertical="top"/>
    </xf>
    <xf numFmtId="0" fontId="9" fillId="0" borderId="1" xfId="0" applyFont="1" applyBorder="1" applyAlignment="1">
      <alignment horizontal="left" vertical="top" wrapText="1"/>
    </xf>
    <xf numFmtId="0" fontId="9" fillId="0" borderId="1" xfId="0" applyFont="1" applyBorder="1" applyAlignment="1">
      <alignment horizontal="center" wrapText="1"/>
    </xf>
    <xf numFmtId="9" fontId="7" fillId="0" borderId="1" xfId="0" applyNumberFormat="1" applyFont="1" applyBorder="1" applyAlignment="1">
      <alignment horizontal="center"/>
    </xf>
    <xf numFmtId="9" fontId="9" fillId="0" borderId="1" xfId="0" applyNumberFormat="1" applyFont="1" applyBorder="1" applyAlignment="1">
      <alignment horizontal="center" wrapText="1"/>
    </xf>
    <xf numFmtId="0" fontId="9" fillId="0" borderId="0" xfId="0" applyFont="1" applyAlignment="1">
      <alignment horizontal="center" vertical="center"/>
    </xf>
    <xf numFmtId="0" fontId="19" fillId="0" borderId="0" xfId="0" applyFont="1" applyAlignment="1">
      <alignment horizontal="center" vertical="center"/>
    </xf>
    <xf numFmtId="0" fontId="17" fillId="0" borderId="0" xfId="0" applyFont="1" applyAlignment="1">
      <alignment horizontal="center" vertical="center"/>
    </xf>
    <xf numFmtId="0" fontId="8" fillId="0" borderId="4" xfId="0" applyFont="1" applyBorder="1">
      <alignment vertical="center"/>
    </xf>
    <xf numFmtId="178" fontId="9" fillId="0" borderId="1" xfId="4" applyNumberFormat="1" applyFont="1" applyBorder="1" applyAlignment="1">
      <alignment horizontal="center" vertical="center"/>
    </xf>
    <xf numFmtId="2" fontId="9" fillId="0" borderId="0" xfId="0" applyNumberFormat="1" applyFont="1" applyAlignment="1">
      <alignment horizontal="center" vertical="center"/>
    </xf>
    <xf numFmtId="9" fontId="7" fillId="0" borderId="0" xfId="4" applyFont="1" applyBorder="1" applyAlignment="1">
      <alignment horizontal="center" vertical="center"/>
    </xf>
    <xf numFmtId="169" fontId="7" fillId="0" borderId="0" xfId="6" applyNumberFormat="1" applyFont="1" applyBorder="1" applyAlignment="1">
      <alignment horizontal="center" vertical="center"/>
    </xf>
    <xf numFmtId="169" fontId="7" fillId="0" borderId="0" xfId="4" applyNumberFormat="1" applyFont="1" applyFill="1" applyBorder="1" applyAlignment="1">
      <alignment horizontal="center" vertical="center"/>
    </xf>
    <xf numFmtId="165" fontId="7" fillId="0" borderId="0" xfId="0" applyNumberFormat="1" applyFont="1" applyAlignment="1">
      <alignment horizontal="center" vertical="center"/>
    </xf>
    <xf numFmtId="0" fontId="21" fillId="0" borderId="0" xfId="5" applyFont="1" applyAlignment="1">
      <alignment horizontal="left" vertical="center"/>
    </xf>
    <xf numFmtId="0" fontId="21" fillId="0" borderId="1" xfId="5" applyFont="1" applyBorder="1" applyAlignment="1">
      <alignment horizontal="left"/>
    </xf>
    <xf numFmtId="0" fontId="65" fillId="0" borderId="1" xfId="0" applyFont="1" applyBorder="1" applyAlignment="1">
      <alignment horizontal="left"/>
    </xf>
    <xf numFmtId="0" fontId="65" fillId="0" borderId="1" xfId="5" applyFont="1" applyFill="1" applyBorder="1" applyAlignment="1">
      <alignment horizontal="left" vertical="center"/>
    </xf>
    <xf numFmtId="178" fontId="9" fillId="0" borderId="1" xfId="6" applyNumberFormat="1" applyFont="1" applyFill="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8" fillId="0" borderId="6" xfId="0" applyFont="1" applyBorder="1">
      <alignment vertical="center"/>
    </xf>
    <xf numFmtId="167" fontId="45" fillId="0" borderId="0" xfId="0" applyNumberFormat="1" applyFont="1" applyAlignment="1">
      <alignment horizontal="center" vertical="top"/>
    </xf>
    <xf numFmtId="167" fontId="8" fillId="0" borderId="7" xfId="4" applyNumberFormat="1" applyFont="1" applyFill="1" applyBorder="1" applyAlignment="1">
      <alignment horizontal="left" vertical="center"/>
    </xf>
    <xf numFmtId="0" fontId="57" fillId="4" borderId="1" xfId="0" applyFont="1" applyFill="1" applyBorder="1" applyAlignment="1">
      <alignment horizontal="center" vertical="center" wrapText="1"/>
    </xf>
    <xf numFmtId="0" fontId="59" fillId="4" borderId="1" xfId="0" applyFont="1" applyFill="1" applyBorder="1" applyAlignment="1">
      <alignment horizontal="center" vertical="center" wrapText="1"/>
    </xf>
    <xf numFmtId="0" fontId="59" fillId="4" borderId="1" xfId="1" applyFont="1" applyFill="1" applyBorder="1" applyAlignment="1">
      <alignment horizontal="center" vertical="center" wrapText="1"/>
    </xf>
    <xf numFmtId="0" fontId="62" fillId="27" borderId="1" xfId="0" applyFont="1" applyFill="1" applyBorder="1" applyAlignment="1">
      <alignment horizontal="center" vertical="center"/>
    </xf>
    <xf numFmtId="169" fontId="62" fillId="27" borderId="1" xfId="0" applyNumberFormat="1" applyFont="1" applyFill="1" applyBorder="1" applyAlignment="1">
      <alignment horizontal="center" vertical="center"/>
    </xf>
    <xf numFmtId="0" fontId="62" fillId="27" borderId="1" xfId="0" applyFont="1" applyFill="1" applyBorder="1" applyAlignment="1">
      <alignment horizontal="center" vertical="center" wrapText="1"/>
    </xf>
    <xf numFmtId="0" fontId="66" fillId="27" borderId="1" xfId="0" applyFont="1" applyFill="1" applyBorder="1" applyAlignment="1">
      <alignment horizontal="center" vertical="center"/>
    </xf>
    <xf numFmtId="0" fontId="66" fillId="27" borderId="1" xfId="0" applyFont="1" applyFill="1" applyBorder="1" applyAlignment="1">
      <alignment horizontal="center" vertical="center" wrapText="1"/>
    </xf>
    <xf numFmtId="9" fontId="20" fillId="27" borderId="1" xfId="4" applyFont="1" applyFill="1" applyBorder="1" applyAlignment="1">
      <alignment horizontal="center" vertical="center" wrapText="1"/>
    </xf>
    <xf numFmtId="0" fontId="20" fillId="27" borderId="1" xfId="0" applyFont="1" applyFill="1" applyBorder="1" applyAlignment="1">
      <alignment horizontal="center" vertical="center" wrapText="1"/>
    </xf>
    <xf numFmtId="0" fontId="20" fillId="27" borderId="1" xfId="7" applyFont="1" applyFill="1" applyBorder="1" applyAlignment="1">
      <alignment horizontal="center" vertical="center" wrapText="1"/>
    </xf>
    <xf numFmtId="0" fontId="20" fillId="27" borderId="1" xfId="7" applyFont="1" applyFill="1" applyBorder="1" applyAlignment="1">
      <alignment horizontal="center" vertical="center"/>
    </xf>
    <xf numFmtId="0" fontId="20" fillId="4" borderId="0" xfId="7" applyFont="1" applyFill="1" applyAlignment="1">
      <alignment horizontal="center"/>
    </xf>
    <xf numFmtId="9" fontId="46" fillId="0" borderId="0" xfId="7" applyNumberFormat="1" applyFont="1" applyAlignment="1">
      <alignment horizontal="center" vertical="top"/>
    </xf>
    <xf numFmtId="0" fontId="52" fillId="0" borderId="62" xfId="7" applyFont="1" applyBorder="1"/>
    <xf numFmtId="165" fontId="7" fillId="0" borderId="1" xfId="4" applyNumberFormat="1" applyFont="1" applyBorder="1" applyAlignment="1">
      <alignment horizontal="center"/>
    </xf>
    <xf numFmtId="165" fontId="46" fillId="0" borderId="1" xfId="0" applyNumberFormat="1" applyFont="1" applyBorder="1" applyAlignment="1">
      <alignment horizontal="center"/>
    </xf>
    <xf numFmtId="10" fontId="46" fillId="0" borderId="1" xfId="0" applyNumberFormat="1" applyFont="1" applyBorder="1" applyAlignment="1">
      <alignment horizontal="center"/>
    </xf>
    <xf numFmtId="2" fontId="0" fillId="0" borderId="0" xfId="0" applyNumberFormat="1">
      <alignment vertical="center"/>
    </xf>
    <xf numFmtId="1" fontId="7" fillId="0" borderId="0" xfId="4" applyNumberFormat="1" applyFont="1" applyAlignment="1">
      <alignment horizontal="center" vertical="center"/>
    </xf>
    <xf numFmtId="9" fontId="19" fillId="0" borderId="0" xfId="4" applyFont="1" applyBorder="1" applyAlignment="1">
      <alignment horizontal="center" vertical="center"/>
    </xf>
    <xf numFmtId="169" fontId="19" fillId="0" borderId="0" xfId="6" applyNumberFormat="1" applyFont="1" applyBorder="1" applyAlignment="1">
      <alignment horizontal="center" vertical="center"/>
    </xf>
    <xf numFmtId="169" fontId="19" fillId="0" borderId="0" xfId="4" applyNumberFormat="1" applyFont="1" applyFill="1" applyBorder="1" applyAlignment="1">
      <alignment horizontal="center" vertical="center"/>
    </xf>
    <xf numFmtId="165" fontId="19" fillId="0" borderId="0" xfId="0" applyNumberFormat="1" applyFont="1" applyAlignment="1">
      <alignment horizontal="center" vertical="center"/>
    </xf>
    <xf numFmtId="9" fontId="52" fillId="0" borderId="0" xfId="7" applyNumberFormat="1" applyFont="1" applyAlignment="1">
      <alignment horizontal="center"/>
    </xf>
    <xf numFmtId="0" fontId="46" fillId="0" borderId="0" xfId="7" applyFont="1" applyAlignment="1">
      <alignment horizontal="left" vertical="top"/>
    </xf>
    <xf numFmtId="169" fontId="7" fillId="0" borderId="0" xfId="6" applyNumberFormat="1" applyFont="1" applyAlignment="1">
      <alignment horizontal="center" vertical="center"/>
    </xf>
    <xf numFmtId="38" fontId="7" fillId="0" borderId="1" xfId="0" applyNumberFormat="1" applyFont="1" applyBorder="1" applyAlignment="1">
      <alignment horizontal="center"/>
    </xf>
    <xf numFmtId="0" fontId="7" fillId="0" borderId="1" xfId="0" applyFont="1" applyBorder="1" applyAlignment="1">
      <alignment horizontal="left" vertical="center" wrapText="1"/>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lignment horizontal="center" vertical="center" wrapText="1"/>
    </xf>
    <xf numFmtId="0" fontId="48" fillId="0" borderId="0" xfId="0" applyFont="1" applyAlignment="1">
      <alignment horizontal="center" vertical="center"/>
    </xf>
    <xf numFmtId="0" fontId="8" fillId="0" borderId="24" xfId="0" applyFont="1" applyBorder="1" applyAlignment="1">
      <alignment horizontal="center" vertical="center" wrapText="1"/>
    </xf>
    <xf numFmtId="0" fontId="8" fillId="0" borderId="36" xfId="0" applyFont="1" applyBorder="1" applyAlignment="1">
      <alignment horizontal="center" vertical="center" wrapText="1"/>
    </xf>
    <xf numFmtId="0" fontId="7" fillId="0" borderId="31" xfId="0" applyFont="1" applyBorder="1" applyAlignment="1">
      <alignment horizontal="center" vertical="center"/>
    </xf>
    <xf numFmtId="0" fontId="7" fillId="0" borderId="35" xfId="0" applyFont="1" applyBorder="1" applyAlignment="1">
      <alignment horizontal="center" vertical="center"/>
    </xf>
    <xf numFmtId="0" fontId="48" fillId="0" borderId="0" xfId="0" applyFont="1" applyAlignment="1">
      <alignment horizontal="center" vertical="center" wrapText="1"/>
    </xf>
    <xf numFmtId="0" fontId="24" fillId="11" borderId="38" xfId="0" applyFont="1" applyFill="1" applyBorder="1" applyAlignment="1">
      <alignment horizontal="center" vertical="center"/>
    </xf>
    <xf numFmtId="0" fontId="24" fillId="11" borderId="40" xfId="0" applyFont="1" applyFill="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30" fillId="11" borderId="52" xfId="0" applyFont="1" applyFill="1" applyBorder="1" applyAlignment="1">
      <alignment horizontal="center" vertical="center"/>
    </xf>
    <xf numFmtId="0" fontId="30" fillId="11" borderId="40" xfId="0" applyFont="1" applyFill="1" applyBorder="1" applyAlignment="1">
      <alignment horizontal="center" vertical="center"/>
    </xf>
    <xf numFmtId="0" fontId="30" fillId="11" borderId="54" xfId="0" applyFont="1" applyFill="1" applyBorder="1" applyAlignment="1">
      <alignment horizontal="center" vertical="center"/>
    </xf>
    <xf numFmtId="0" fontId="24" fillId="11" borderId="49" xfId="0" applyFont="1" applyFill="1" applyBorder="1" applyAlignment="1">
      <alignment horizontal="center" vertical="center"/>
    </xf>
    <xf numFmtId="0" fontId="24" fillId="11" borderId="50" xfId="0" applyFont="1" applyFill="1" applyBorder="1" applyAlignment="1">
      <alignment horizontal="center" vertical="center"/>
    </xf>
    <xf numFmtId="0" fontId="9" fillId="0" borderId="0" xfId="0" applyFont="1" applyAlignment="1">
      <alignment horizontal="center" vertical="center"/>
    </xf>
    <xf numFmtId="0" fontId="24" fillId="0" borderId="56" xfId="0" applyFont="1" applyBorder="1" applyAlignment="1">
      <alignment horizontal="center" vertical="center"/>
    </xf>
    <xf numFmtId="0" fontId="30" fillId="0" borderId="56" xfId="0" applyFont="1" applyBorder="1" applyAlignment="1">
      <alignment horizontal="center" vertical="center"/>
    </xf>
    <xf numFmtId="0" fontId="31" fillId="0" borderId="56" xfId="0" applyFont="1" applyBorder="1" applyAlignment="1">
      <alignment horizontal="center" vertical="center"/>
    </xf>
    <xf numFmtId="0" fontId="31" fillId="11" borderId="52" xfId="0" applyFont="1" applyFill="1" applyBorder="1" applyAlignment="1">
      <alignment horizontal="center" vertical="center"/>
    </xf>
    <xf numFmtId="0" fontId="31" fillId="11" borderId="40" xfId="0" applyFont="1" applyFill="1" applyBorder="1" applyAlignment="1">
      <alignment horizontal="center" vertical="center"/>
    </xf>
    <xf numFmtId="0" fontId="31" fillId="11" borderId="53" xfId="0" applyFont="1" applyFill="1" applyBorder="1" applyAlignment="1">
      <alignment horizontal="center" vertical="center"/>
    </xf>
    <xf numFmtId="0" fontId="30" fillId="11" borderId="49" xfId="0" applyFont="1" applyFill="1" applyBorder="1" applyAlignment="1">
      <alignment horizontal="center" vertical="center"/>
    </xf>
    <xf numFmtId="0" fontId="30" fillId="11" borderId="50" xfId="0" applyFont="1" applyFill="1" applyBorder="1" applyAlignment="1">
      <alignment horizontal="center" vertical="center"/>
    </xf>
    <xf numFmtId="0" fontId="31" fillId="11" borderId="50" xfId="0" applyFont="1" applyFill="1" applyBorder="1" applyAlignment="1">
      <alignment horizontal="center" vertical="center"/>
    </xf>
    <xf numFmtId="0" fontId="31" fillId="11" borderId="51" xfId="0" applyFont="1" applyFill="1" applyBorder="1" applyAlignment="1">
      <alignment horizontal="center" vertical="center"/>
    </xf>
    <xf numFmtId="0" fontId="31" fillId="11" borderId="47" xfId="0" applyFont="1" applyFill="1" applyBorder="1" applyAlignment="1">
      <alignment horizontal="center" vertical="center"/>
    </xf>
    <xf numFmtId="0" fontId="31" fillId="11" borderId="48" xfId="0" applyFont="1" applyFill="1" applyBorder="1" applyAlignment="1">
      <alignment horizontal="center" vertical="center"/>
    </xf>
    <xf numFmtId="0" fontId="30" fillId="11" borderId="47" xfId="0" applyFont="1" applyFill="1" applyBorder="1" applyAlignment="1">
      <alignment horizontal="center" vertical="center"/>
    </xf>
    <xf numFmtId="0" fontId="30" fillId="11" borderId="48" xfId="0" applyFont="1" applyFill="1" applyBorder="1" applyAlignment="1">
      <alignment horizontal="center" vertical="center"/>
    </xf>
    <xf numFmtId="0" fontId="30" fillId="11" borderId="22" xfId="0" applyFont="1" applyFill="1" applyBorder="1" applyAlignment="1">
      <alignment horizontal="center" vertical="center"/>
    </xf>
    <xf numFmtId="0" fontId="24" fillId="11" borderId="47" xfId="0" applyFont="1" applyFill="1" applyBorder="1" applyAlignment="1">
      <alignment horizontal="center" vertical="center"/>
    </xf>
    <xf numFmtId="0" fontId="24" fillId="11" borderId="22" xfId="0" applyFont="1" applyFill="1" applyBorder="1" applyAlignment="1">
      <alignment horizontal="center" vertical="center"/>
    </xf>
    <xf numFmtId="0" fontId="24" fillId="11" borderId="48" xfId="0" applyFont="1" applyFill="1" applyBorder="1" applyAlignment="1">
      <alignment horizontal="center" vertical="center"/>
    </xf>
    <xf numFmtId="0" fontId="31" fillId="11" borderId="22" xfId="0" applyFont="1" applyFill="1" applyBorder="1" applyAlignment="1">
      <alignment horizontal="center" vertical="center"/>
    </xf>
    <xf numFmtId="0" fontId="48" fillId="0" borderId="57" xfId="0" applyFont="1" applyBorder="1" applyAlignment="1">
      <alignment horizontal="center" vertical="center"/>
    </xf>
    <xf numFmtId="0" fontId="48" fillId="0" borderId="57" xfId="0" applyFont="1" applyBorder="1" applyAlignment="1">
      <alignment horizontal="center" vertical="center" wrapText="1"/>
    </xf>
    <xf numFmtId="0" fontId="29" fillId="0" borderId="0" xfId="0" applyFont="1" applyAlignment="1">
      <alignment horizontal="center" vertical="center" wrapText="1"/>
    </xf>
    <xf numFmtId="0" fontId="20" fillId="25" borderId="1" xfId="0" applyFont="1" applyFill="1" applyBorder="1" applyAlignment="1">
      <alignment horizontal="center" vertical="center"/>
    </xf>
    <xf numFmtId="0" fontId="19" fillId="25" borderId="1" xfId="0" applyFont="1" applyFill="1" applyBorder="1" applyAlignment="1">
      <alignment horizontal="center" vertical="center"/>
    </xf>
    <xf numFmtId="0" fontId="26" fillId="0" borderId="0" xfId="0" applyFont="1" applyAlignment="1">
      <alignment horizontal="center" vertical="center"/>
    </xf>
    <xf numFmtId="0" fontId="28" fillId="0" borderId="0" xfId="0" applyFont="1" applyAlignment="1">
      <alignment horizontal="center" vertical="center"/>
    </xf>
    <xf numFmtId="0" fontId="22" fillId="0" borderId="0" xfId="0" applyFont="1" applyAlignment="1">
      <alignment horizontal="center"/>
    </xf>
    <xf numFmtId="0" fontId="34" fillId="10" borderId="1" xfId="0" applyFont="1" applyFill="1" applyBorder="1" applyAlignment="1">
      <alignment horizontal="center" vertical="center" wrapText="1"/>
    </xf>
    <xf numFmtId="0" fontId="52" fillId="22" borderId="0" xfId="7" applyFont="1" applyFill="1" applyAlignment="1">
      <alignment horizontal="left" vertical="center"/>
    </xf>
    <xf numFmtId="0" fontId="68" fillId="4" borderId="0" xfId="7" applyFont="1" applyFill="1" applyAlignment="1">
      <alignment horizontal="center" wrapText="1"/>
    </xf>
    <xf numFmtId="0" fontId="68" fillId="4" borderId="62" xfId="7" applyFont="1" applyFill="1" applyBorder="1" applyAlignment="1">
      <alignment horizontal="center" wrapText="1"/>
    </xf>
    <xf numFmtId="0" fontId="67" fillId="4" borderId="0" xfId="7" applyFont="1" applyFill="1" applyAlignment="1">
      <alignment horizontal="center"/>
    </xf>
    <xf numFmtId="0" fontId="34" fillId="10" borderId="30" xfId="0" applyFont="1" applyFill="1" applyBorder="1" applyAlignment="1">
      <alignment horizontal="center" vertical="center" wrapText="1"/>
    </xf>
    <xf numFmtId="0" fontId="34" fillId="10" borderId="29" xfId="0" applyFont="1" applyFill="1" applyBorder="1" applyAlignment="1">
      <alignment horizontal="center" vertical="center" wrapText="1"/>
    </xf>
    <xf numFmtId="0" fontId="34" fillId="10" borderId="55"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19" fillId="16" borderId="1" xfId="0" applyFont="1" applyFill="1" applyBorder="1" applyAlignment="1">
      <alignment horizontal="center" vertical="center" wrapText="1"/>
    </xf>
    <xf numFmtId="0" fontId="34" fillId="16" borderId="1" xfId="0" applyFont="1" applyFill="1" applyBorder="1" applyAlignment="1">
      <alignment horizontal="center" vertical="center" wrapText="1"/>
    </xf>
    <xf numFmtId="0" fontId="34" fillId="16" borderId="30" xfId="0" applyFont="1" applyFill="1" applyBorder="1" applyAlignment="1">
      <alignment horizontal="center" vertical="center" wrapText="1"/>
    </xf>
    <xf numFmtId="0" fontId="34" fillId="16" borderId="29" xfId="0" applyFont="1" applyFill="1" applyBorder="1" applyAlignment="1">
      <alignment horizontal="center" vertical="center" wrapText="1"/>
    </xf>
    <xf numFmtId="0" fontId="7" fillId="0" borderId="1" xfId="0" applyFont="1" applyBorder="1" applyAlignment="1">
      <alignment horizontal="left" vertical="center"/>
    </xf>
    <xf numFmtId="0" fontId="57" fillId="27" borderId="1" xfId="0" applyFont="1" applyFill="1" applyBorder="1" applyAlignment="1">
      <alignment horizontal="center" vertical="center" wrapText="1"/>
    </xf>
    <xf numFmtId="0" fontId="55" fillId="0" borderId="59" xfId="0" applyFont="1" applyBorder="1" applyAlignment="1">
      <alignment horizontal="center" vertical="center" wrapText="1"/>
    </xf>
    <xf numFmtId="9" fontId="7" fillId="0" borderId="1" xfId="4" applyFont="1" applyBorder="1" applyAlignment="1">
      <alignment horizontal="center" vertical="center"/>
    </xf>
    <xf numFmtId="0" fontId="7" fillId="0" borderId="1" xfId="0" applyFont="1" applyBorder="1" applyAlignment="1">
      <alignment horizontal="left" vertical="top" wrapText="1"/>
    </xf>
    <xf numFmtId="0" fontId="59" fillId="27" borderId="1" xfId="0" applyFont="1" applyFill="1" applyBorder="1" applyAlignment="1">
      <alignment horizontal="center" vertical="center" wrapText="1"/>
    </xf>
    <xf numFmtId="169" fontId="7" fillId="0" borderId="1" xfId="0" applyNumberFormat="1" applyFont="1" applyBorder="1" applyAlignment="1">
      <alignment horizontal="center" vertical="center"/>
    </xf>
    <xf numFmtId="9" fontId="7" fillId="0" borderId="1" xfId="4" applyFont="1" applyFill="1" applyBorder="1" applyAlignment="1">
      <alignment horizontal="center" vertical="center"/>
    </xf>
    <xf numFmtId="16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2" fontId="7" fillId="0" borderId="0" xfId="0" applyNumberFormat="1" applyFont="1" applyAlignment="1">
      <alignment horizontal="left" vertical="center" wrapText="1"/>
    </xf>
    <xf numFmtId="9" fontId="7" fillId="0" borderId="30" xfId="4" applyFont="1" applyBorder="1" applyAlignment="1">
      <alignment horizontal="center"/>
    </xf>
    <xf numFmtId="9" fontId="7" fillId="0" borderId="29" xfId="4" applyFont="1" applyBorder="1" applyAlignment="1">
      <alignment horizontal="center"/>
    </xf>
    <xf numFmtId="177" fontId="7" fillId="0" borderId="30" xfId="6" applyNumberFormat="1" applyFont="1" applyBorder="1" applyAlignment="1">
      <alignment horizontal="center"/>
    </xf>
    <xf numFmtId="177" fontId="7" fillId="0" borderId="12" xfId="6" applyNumberFormat="1" applyFont="1" applyBorder="1" applyAlignment="1">
      <alignment horizontal="center"/>
    </xf>
    <xf numFmtId="177" fontId="7" fillId="0" borderId="29" xfId="6" applyNumberFormat="1" applyFont="1" applyBorder="1" applyAlignment="1">
      <alignment horizontal="center"/>
    </xf>
    <xf numFmtId="9" fontId="7" fillId="0" borderId="12" xfId="4" applyFont="1" applyBorder="1" applyAlignment="1">
      <alignment horizontal="center"/>
    </xf>
    <xf numFmtId="0" fontId="9" fillId="0" borderId="30" xfId="0" applyFont="1" applyBorder="1" applyAlignment="1">
      <alignment vertical="top"/>
    </xf>
    <xf numFmtId="0" fontId="9" fillId="0" borderId="29" xfId="0" applyFont="1" applyBorder="1" applyAlignment="1">
      <alignment vertical="top"/>
    </xf>
    <xf numFmtId="0" fontId="9" fillId="0" borderId="30" xfId="0" applyFont="1" applyBorder="1" applyAlignment="1">
      <alignment vertical="top" wrapText="1"/>
    </xf>
    <xf numFmtId="0" fontId="9" fillId="0" borderId="12" xfId="0" applyFont="1" applyBorder="1" applyAlignment="1">
      <alignment vertical="top" wrapText="1"/>
    </xf>
    <xf numFmtId="0" fontId="9" fillId="0" borderId="29" xfId="0" applyFont="1" applyBorder="1" applyAlignment="1">
      <alignment vertical="top" wrapText="1"/>
    </xf>
    <xf numFmtId="0" fontId="9" fillId="0" borderId="12" xfId="0" applyFont="1" applyBorder="1" applyAlignment="1">
      <alignment vertical="top"/>
    </xf>
    <xf numFmtId="0" fontId="9" fillId="0" borderId="1" xfId="0" applyFont="1" applyBorder="1" applyAlignment="1">
      <alignment vertical="top"/>
    </xf>
    <xf numFmtId="0" fontId="20" fillId="4" borderId="60" xfId="0" applyFont="1" applyFill="1" applyBorder="1" applyAlignment="1">
      <alignment horizontal="center" vertical="center"/>
    </xf>
    <xf numFmtId="0" fontId="20" fillId="4" borderId="61"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10" xfId="0" applyFont="1" applyFill="1" applyBorder="1" applyAlignment="1">
      <alignment horizontal="center" vertical="center"/>
    </xf>
    <xf numFmtId="0" fontId="20" fillId="4" borderId="5" xfId="0" applyFont="1" applyFill="1" applyBorder="1" applyAlignment="1">
      <alignment horizontal="center" vertical="center"/>
    </xf>
    <xf numFmtId="0" fontId="37" fillId="0" borderId="0" xfId="7" applyFont="1" applyAlignment="1">
      <alignment horizontal="left" wrapText="1"/>
    </xf>
    <xf numFmtId="0" fontId="7" fillId="0" borderId="1" xfId="0" applyFont="1" applyBorder="1" applyAlignment="1">
      <alignment horizontal="left" vertical="top"/>
    </xf>
    <xf numFmtId="164" fontId="7" fillId="0" borderId="1" xfId="6" applyNumberFormat="1" applyFont="1" applyFill="1" applyBorder="1" applyAlignment="1">
      <alignment horizontal="left" vertical="top" wrapText="1"/>
    </xf>
    <xf numFmtId="0" fontId="20" fillId="27" borderId="1" xfId="0" applyFont="1" applyFill="1" applyBorder="1" applyAlignment="1">
      <alignment horizontal="center" vertical="center" wrapText="1"/>
    </xf>
    <xf numFmtId="164" fontId="7" fillId="0" borderId="1" xfId="6" applyNumberFormat="1" applyFont="1" applyFill="1" applyBorder="1" applyAlignment="1">
      <alignment horizontal="left" vertical="top"/>
    </xf>
  </cellXfs>
  <cellStyles count="16">
    <cellStyle name="Comma" xfId="6" builtinId="3"/>
    <cellStyle name="Comma 2" xfId="2" xr:uid="{656A111E-65EF-8E44-95DC-E2E0477DBE0A}"/>
    <cellStyle name="Comma 3" xfId="8" xr:uid="{8782A8FB-5EB3-B14F-8855-DFD099031BE9}"/>
    <cellStyle name="Comma 4" xfId="11" xr:uid="{09BAA649-456F-DD49-8B45-063062AB79A0}"/>
    <cellStyle name="Comma 5" xfId="15" xr:uid="{3C4E383E-1DAA-0A49-9EE5-997FEFC137CD}"/>
    <cellStyle name="Currency 2" xfId="14" xr:uid="{8F93DB23-ED08-8A40-A61B-9473273DA2C5}"/>
    <cellStyle name="Hyperlink" xfId="5" builtinId="8"/>
    <cellStyle name="Hyperlink 2" xfId="9" xr:uid="{D26171E0-77FE-FB46-A809-FDAB0A012C8E}"/>
    <cellStyle name="Hyperlink 3" xfId="10" xr:uid="{B17F4B3C-3BE9-634A-84C6-F79F1AC80A8F}"/>
    <cellStyle name="Hyperlink 4" xfId="13" xr:uid="{6765F62B-F9D0-0843-B7DA-A12A595701DC}"/>
    <cellStyle name="Normal" xfId="0" builtinId="0"/>
    <cellStyle name="Normal 2" xfId="1" xr:uid="{D1C55673-EBB0-E848-A42F-4FB3D97EC512}"/>
    <cellStyle name="Normal 3" xfId="7" xr:uid="{F07008C1-CA3E-C54F-BD45-DB83824BD712}"/>
    <cellStyle name="Percent" xfId="4" builtinId="5"/>
    <cellStyle name="Percent 2" xfId="3" xr:uid="{EF32EAF1-C3C9-FC40-9415-44DC082E01D4}"/>
    <cellStyle name="Percent 3" xfId="12" xr:uid="{18CB7D12-E2C3-B144-B369-184AA1E76EE7}"/>
  </cellStyles>
  <dxfs count="125">
    <dxf>
      <fill>
        <patternFill>
          <bgColor theme="0" tint="-4.9989318521683403E-2"/>
        </patternFill>
      </fill>
    </dxf>
    <dxf>
      <fill>
        <patternFill>
          <bgColor theme="0" tint="-4.9989318521683403E-2"/>
        </patternFill>
      </fill>
    </dxf>
    <dxf>
      <fill>
        <patternFill>
          <bgColor theme="0" tint="-4.9989318521683403E-2"/>
        </patternFill>
      </fill>
    </dxf>
    <dxf>
      <font>
        <color theme="1"/>
      </font>
      <fill>
        <patternFill patternType="solid">
          <bgColor theme="0" tint="-4.9989318521683403E-2"/>
        </patternFill>
      </fill>
    </dxf>
    <dxf>
      <font>
        <color rgb="FF9C0006"/>
      </font>
      <fill>
        <patternFill>
          <bgColor rgb="FFFFC7CE"/>
        </patternFill>
      </fill>
    </dxf>
    <dxf>
      <font>
        <color theme="1" tint="0.39997558519241921"/>
      </font>
    </dxf>
    <dxf>
      <font>
        <color theme="0"/>
      </font>
      <fill>
        <patternFill>
          <bgColor theme="6"/>
        </patternFill>
      </fill>
    </dxf>
    <dxf>
      <font>
        <color theme="0"/>
      </font>
      <fill>
        <patternFill>
          <bgColor theme="8"/>
        </patternFill>
      </fill>
    </dxf>
    <dxf>
      <font>
        <color theme="0"/>
      </font>
      <fill>
        <patternFill>
          <bgColor theme="9"/>
        </patternFill>
      </fill>
    </dxf>
    <dxf>
      <font>
        <color theme="0"/>
      </font>
      <fill>
        <patternFill>
          <bgColor theme="6"/>
        </patternFill>
      </fill>
    </dxf>
    <dxf>
      <font>
        <color theme="0"/>
      </font>
      <fill>
        <patternFill>
          <bgColor theme="8"/>
        </patternFill>
      </fill>
    </dxf>
    <dxf>
      <font>
        <color theme="0"/>
      </font>
      <fill>
        <patternFill>
          <bgColor theme="9"/>
        </patternFill>
      </fill>
    </dxf>
    <dxf>
      <font>
        <color theme="0"/>
      </font>
      <fill>
        <patternFill>
          <bgColor theme="6"/>
        </patternFill>
      </fill>
    </dxf>
    <dxf>
      <font>
        <color theme="0"/>
      </font>
      <fill>
        <patternFill>
          <bgColor theme="8"/>
        </patternFill>
      </fill>
    </dxf>
    <dxf>
      <font>
        <color theme="0"/>
      </font>
      <fill>
        <patternFill>
          <bgColor theme="9"/>
        </patternFill>
      </fill>
    </dxf>
    <dxf>
      <font>
        <b/>
        <i val="0"/>
        <color theme="0" tint="-0.249977111117893"/>
      </font>
    </dxf>
    <dxf>
      <font>
        <b/>
        <i val="0"/>
        <color rgb="FF9C0006"/>
      </font>
    </dxf>
    <dxf>
      <font>
        <b/>
        <i val="0"/>
        <color theme="8"/>
      </font>
    </dxf>
    <dxf>
      <font>
        <b/>
        <i val="0"/>
        <color rgb="FF9C0006"/>
      </font>
    </dxf>
    <dxf>
      <font>
        <b/>
        <i val="0"/>
        <color theme="0" tint="-0.249977111117893"/>
      </font>
    </dxf>
    <dxf>
      <font>
        <b/>
        <i val="0"/>
        <color theme="8"/>
      </font>
    </dxf>
    <dxf>
      <font>
        <b/>
        <i val="0"/>
        <color theme="0" tint="-0.249977111117893"/>
      </font>
    </dxf>
    <dxf>
      <font>
        <b/>
        <i val="0"/>
        <color rgb="FF9C0006"/>
      </font>
    </dxf>
    <dxf>
      <font>
        <b/>
        <i val="0"/>
        <color theme="8"/>
      </font>
    </dxf>
    <dxf>
      <font>
        <b/>
        <i val="0"/>
        <color theme="8"/>
      </font>
    </dxf>
    <dxf>
      <font>
        <b/>
        <i val="0"/>
        <color rgb="FF9C0006"/>
      </font>
    </dxf>
    <dxf>
      <font>
        <b/>
        <i val="0"/>
        <color theme="0" tint="-0.249977111117893"/>
      </font>
    </dxf>
    <dxf>
      <font>
        <b/>
        <i val="0"/>
        <color theme="0" tint="-0.249977111117893"/>
      </font>
    </dxf>
    <dxf>
      <font>
        <b/>
        <i val="0"/>
        <color rgb="FF9C0006"/>
      </font>
    </dxf>
    <dxf>
      <font>
        <b/>
        <i val="0"/>
        <color theme="8"/>
      </font>
    </dxf>
    <dxf>
      <font>
        <b/>
        <i val="0"/>
        <color theme="0" tint="-0.249977111117893"/>
      </font>
    </dxf>
    <dxf>
      <font>
        <b/>
        <i val="0"/>
        <color rgb="FF9C0006"/>
      </font>
    </dxf>
    <dxf>
      <font>
        <b/>
        <i val="0"/>
        <color theme="8"/>
      </font>
    </dxf>
    <dxf>
      <font>
        <b/>
        <i val="0"/>
        <color rgb="FF9C0006"/>
      </font>
    </dxf>
    <dxf>
      <font>
        <b/>
        <i val="0"/>
        <color theme="0" tint="-0.249977111117893"/>
      </font>
    </dxf>
    <dxf>
      <font>
        <b/>
        <i val="0"/>
        <color theme="8"/>
      </font>
    </dxf>
    <dxf>
      <font>
        <b/>
        <i val="0"/>
        <color rgb="FF9C0006"/>
      </font>
    </dxf>
    <dxf>
      <font>
        <b/>
        <i val="0"/>
        <color theme="0" tint="-0.249977111117893"/>
      </font>
    </dxf>
    <dxf>
      <font>
        <b/>
        <i val="0"/>
        <color theme="8"/>
      </font>
    </dxf>
    <dxf>
      <font>
        <b/>
        <i val="0"/>
        <color theme="0" tint="-0.249977111117893"/>
      </font>
    </dxf>
    <dxf>
      <font>
        <b/>
        <i val="0"/>
        <color rgb="FF9C0006"/>
      </font>
    </dxf>
    <dxf>
      <font>
        <b/>
        <i val="0"/>
        <color theme="8"/>
      </font>
    </dxf>
    <dxf>
      <font>
        <b/>
        <i val="0"/>
        <color theme="8"/>
      </font>
    </dxf>
    <dxf>
      <font>
        <b/>
        <i val="0"/>
        <color theme="0" tint="-0.249977111117893"/>
      </font>
    </dxf>
    <dxf>
      <font>
        <b/>
        <i val="0"/>
        <color rgb="FF9C0006"/>
      </font>
    </dxf>
    <dxf>
      <font>
        <b/>
        <i val="0"/>
        <color theme="0" tint="-0.249977111117893"/>
      </font>
    </dxf>
    <dxf>
      <font>
        <b/>
        <i val="0"/>
        <color theme="8"/>
      </font>
    </dxf>
    <dxf>
      <font>
        <b/>
        <i val="0"/>
        <color rgb="FF9C0006"/>
      </font>
    </dxf>
    <dxf>
      <font>
        <b/>
        <i val="0"/>
        <color rgb="FF9C0006"/>
      </font>
    </dxf>
    <dxf>
      <font>
        <b/>
        <i val="0"/>
        <color theme="8"/>
      </font>
    </dxf>
    <dxf>
      <font>
        <b/>
        <i val="0"/>
        <color theme="0" tint="-0.249977111117893"/>
      </font>
    </dxf>
    <dxf>
      <font>
        <b/>
        <i val="0"/>
        <color theme="0" tint="-0.249977111117893"/>
      </font>
    </dxf>
    <dxf>
      <font>
        <b/>
        <i val="0"/>
        <color rgb="FF9C0006"/>
      </font>
    </dxf>
    <dxf>
      <font>
        <b/>
        <i val="0"/>
        <color theme="8"/>
      </font>
    </dxf>
    <dxf>
      <font>
        <b/>
        <i val="0"/>
        <color rgb="FF9C0006"/>
      </font>
    </dxf>
    <dxf>
      <font>
        <b/>
        <i val="0"/>
        <color theme="8"/>
      </font>
    </dxf>
    <dxf>
      <font>
        <b/>
        <i val="0"/>
        <color theme="0" tint="-0.249977111117893"/>
      </font>
    </dxf>
    <dxf>
      <font>
        <b/>
        <i val="0"/>
        <color theme="8"/>
      </font>
    </dxf>
    <dxf>
      <font>
        <b/>
        <i val="0"/>
        <color rgb="FF9C0006"/>
      </font>
    </dxf>
    <dxf>
      <font>
        <b/>
        <i val="0"/>
        <color theme="0" tint="-0.249977111117893"/>
      </font>
    </dxf>
    <dxf>
      <font>
        <b/>
        <i val="0"/>
        <color rgb="FF9C0006"/>
      </font>
    </dxf>
    <dxf>
      <font>
        <b/>
        <i val="0"/>
        <color theme="0" tint="-0.249977111117893"/>
      </font>
    </dxf>
    <dxf>
      <font>
        <b/>
        <i val="0"/>
        <color theme="8"/>
      </font>
    </dxf>
    <dxf>
      <font>
        <b/>
        <i val="0"/>
        <color theme="8"/>
      </font>
    </dxf>
    <dxf>
      <font>
        <b/>
        <i val="0"/>
        <color rgb="FF9C0006"/>
      </font>
    </dxf>
    <dxf>
      <font>
        <b/>
        <i val="0"/>
        <color theme="0" tint="-0.249977111117893"/>
      </font>
    </dxf>
    <dxf>
      <font>
        <b/>
        <i val="0"/>
        <color theme="0" tint="-0.249977111117893"/>
      </font>
    </dxf>
    <dxf>
      <font>
        <b/>
        <i val="0"/>
        <color rgb="FF9C0006"/>
      </font>
    </dxf>
    <dxf>
      <font>
        <b/>
        <i val="0"/>
        <color theme="8"/>
      </font>
    </dxf>
    <dxf>
      <font>
        <b/>
        <i val="0"/>
        <color theme="8"/>
      </font>
    </dxf>
    <dxf>
      <font>
        <b/>
        <i val="0"/>
        <color rgb="FF9C0006"/>
      </font>
    </dxf>
    <dxf>
      <font>
        <b/>
        <i val="0"/>
        <color theme="0" tint="-0.249977111117893"/>
      </font>
    </dxf>
    <dxf>
      <font>
        <b/>
        <i val="0"/>
        <color rgb="FF9C0006"/>
      </font>
    </dxf>
    <dxf>
      <font>
        <b/>
        <i val="0"/>
        <color theme="0" tint="-0.249977111117893"/>
      </font>
    </dxf>
    <dxf>
      <font>
        <b/>
        <i val="0"/>
        <color theme="8"/>
      </font>
    </dxf>
    <dxf>
      <font>
        <b/>
        <i val="0"/>
        <color theme="8"/>
      </font>
    </dxf>
    <dxf>
      <font>
        <b/>
        <i val="0"/>
        <color rgb="FF9C0006"/>
      </font>
    </dxf>
    <dxf>
      <font>
        <b/>
        <i val="0"/>
        <color theme="0" tint="-0.249977111117893"/>
      </font>
    </dxf>
    <dxf>
      <font>
        <b/>
        <i val="0"/>
        <color theme="8"/>
      </font>
    </dxf>
    <dxf>
      <font>
        <b/>
        <i val="0"/>
        <color rgb="FF9C0006"/>
      </font>
    </dxf>
    <dxf>
      <font>
        <b/>
        <i val="0"/>
        <color theme="0" tint="-0.249977111117893"/>
      </font>
    </dxf>
    <dxf>
      <font>
        <b/>
        <i val="0"/>
        <color theme="8"/>
      </font>
    </dxf>
    <dxf>
      <font>
        <b/>
        <i val="0"/>
        <color rgb="FF9C0006"/>
      </font>
    </dxf>
    <dxf>
      <font>
        <b/>
        <i val="0"/>
        <color theme="0" tint="-0.249977111117893"/>
      </font>
    </dxf>
    <dxf>
      <font>
        <color theme="0"/>
      </font>
      <fill>
        <patternFill>
          <bgColor theme="8"/>
        </patternFill>
      </fill>
    </dxf>
    <dxf>
      <font>
        <color theme="0"/>
      </font>
      <fill>
        <patternFill>
          <bgColor theme="9"/>
        </patternFill>
      </fill>
    </dxf>
    <dxf>
      <font>
        <color theme="0"/>
      </font>
      <fill>
        <patternFill>
          <bgColor theme="6"/>
        </patternFill>
      </fill>
    </dxf>
    <dxf>
      <font>
        <color theme="0"/>
      </font>
      <fill>
        <patternFill>
          <bgColor theme="8"/>
        </patternFill>
      </fill>
    </dxf>
    <dxf>
      <font>
        <color theme="0"/>
      </font>
      <fill>
        <patternFill>
          <bgColor theme="6"/>
        </patternFill>
      </fill>
    </dxf>
    <dxf>
      <font>
        <color theme="0"/>
      </font>
      <fill>
        <patternFill>
          <bgColor theme="9"/>
        </patternFill>
      </fill>
    </dxf>
    <dxf>
      <font>
        <color theme="0"/>
      </font>
      <fill>
        <patternFill>
          <bgColor theme="6"/>
        </patternFill>
      </fill>
    </dxf>
    <dxf>
      <font>
        <color theme="0"/>
      </font>
      <fill>
        <patternFill>
          <bgColor theme="8"/>
        </patternFill>
      </fill>
    </dxf>
    <dxf>
      <font>
        <color theme="0"/>
      </font>
      <fill>
        <patternFill>
          <bgColor theme="9"/>
        </patternFill>
      </fill>
    </dxf>
    <dxf>
      <font>
        <color theme="0"/>
      </font>
      <fill>
        <patternFill>
          <bgColor theme="9"/>
        </patternFill>
      </fill>
    </dxf>
    <dxf>
      <font>
        <color theme="0"/>
      </font>
      <fill>
        <patternFill>
          <bgColor theme="8"/>
        </patternFill>
      </fill>
    </dxf>
    <dxf>
      <font>
        <color theme="0"/>
      </font>
      <fill>
        <patternFill>
          <bgColor theme="6"/>
        </patternFill>
      </fill>
    </dxf>
    <dxf>
      <font>
        <color theme="0"/>
      </font>
      <fill>
        <patternFill>
          <bgColor theme="9"/>
        </patternFill>
      </fill>
    </dxf>
    <dxf>
      <font>
        <color theme="0"/>
      </font>
      <fill>
        <patternFill>
          <bgColor theme="8"/>
        </patternFill>
      </fill>
    </dxf>
    <dxf>
      <font>
        <color theme="0"/>
      </font>
      <fill>
        <patternFill>
          <bgColor theme="6"/>
        </patternFill>
      </fill>
    </dxf>
    <dxf>
      <font>
        <color theme="0"/>
      </font>
      <fill>
        <patternFill>
          <bgColor theme="8"/>
        </patternFill>
      </fill>
    </dxf>
    <dxf>
      <font>
        <color theme="0"/>
      </font>
      <fill>
        <patternFill>
          <bgColor theme="6"/>
        </patternFill>
      </fill>
    </dxf>
    <dxf>
      <font>
        <color theme="0"/>
      </font>
      <fill>
        <patternFill>
          <bgColor theme="9"/>
        </patternFill>
      </fill>
    </dxf>
    <dxf>
      <font>
        <color theme="0"/>
      </font>
      <fill>
        <patternFill>
          <bgColor theme="8"/>
        </patternFill>
      </fill>
    </dxf>
    <dxf>
      <font>
        <color theme="0"/>
      </font>
      <fill>
        <patternFill>
          <bgColor theme="9"/>
        </patternFill>
      </fill>
    </dxf>
    <dxf>
      <font>
        <color theme="0"/>
      </font>
      <fill>
        <patternFill>
          <bgColor theme="6"/>
        </patternFill>
      </fill>
    </dxf>
    <dxf>
      <font>
        <color theme="0"/>
      </font>
      <fill>
        <patternFill>
          <bgColor theme="8"/>
        </patternFill>
      </fill>
    </dxf>
    <dxf>
      <font>
        <color theme="0"/>
      </font>
      <fill>
        <patternFill>
          <bgColor theme="9"/>
        </patternFill>
      </fill>
    </dxf>
    <dxf>
      <font>
        <color theme="0"/>
      </font>
      <fill>
        <patternFill>
          <bgColor theme="6"/>
        </patternFill>
      </fill>
    </dxf>
    <dxf>
      <font>
        <color rgb="FF9C0006"/>
      </font>
    </dxf>
    <dxf>
      <font>
        <color rgb="FF9C0006"/>
      </font>
    </dxf>
    <dxf>
      <font>
        <color theme="0"/>
      </font>
      <fill>
        <patternFill>
          <bgColor theme="9"/>
        </patternFill>
      </fill>
    </dxf>
    <dxf>
      <font>
        <color theme="0"/>
      </font>
      <fill>
        <patternFill>
          <bgColor theme="6"/>
        </patternFill>
      </fill>
    </dxf>
    <dxf>
      <font>
        <color theme="0"/>
      </font>
      <fill>
        <patternFill>
          <bgColor theme="8"/>
        </patternFill>
      </fill>
    </dxf>
    <dxf>
      <fill>
        <patternFill patternType="solid">
          <fgColor rgb="FFF3F3F3"/>
          <bgColor rgb="FFF3F3F3"/>
        </patternFill>
      </fill>
    </dxf>
    <dxf>
      <fill>
        <patternFill patternType="solid">
          <fgColor rgb="FFFFFFFF"/>
          <bgColor rgb="FFFFFFFF"/>
        </patternFill>
      </fill>
    </dxf>
    <dxf>
      <fill>
        <patternFill patternType="solid">
          <fgColor rgb="FF45818E"/>
          <bgColor rgb="FF45818E"/>
        </patternFill>
      </fill>
    </dxf>
    <dxf>
      <fill>
        <patternFill patternType="solid">
          <fgColor rgb="FFF3F3F3"/>
          <bgColor rgb="FFF3F3F3"/>
        </patternFill>
      </fill>
    </dxf>
    <dxf>
      <fill>
        <patternFill patternType="solid">
          <fgColor rgb="FFFFFFFF"/>
          <bgColor rgb="FFFFFFFF"/>
        </patternFill>
      </fill>
    </dxf>
    <dxf>
      <fill>
        <patternFill patternType="solid">
          <fgColor rgb="FF45818E"/>
          <bgColor rgb="FF45818E"/>
        </patternFill>
      </fill>
    </dxf>
    <dxf>
      <fill>
        <patternFill patternType="solid">
          <fgColor rgb="FFF3F3F3"/>
          <bgColor rgb="FFF3F3F3"/>
        </patternFill>
      </fill>
    </dxf>
    <dxf>
      <fill>
        <patternFill patternType="solid">
          <fgColor rgb="FFFFFFFF"/>
          <bgColor rgb="FFFFFFFF"/>
        </patternFill>
      </fill>
    </dxf>
    <dxf>
      <fill>
        <patternFill patternType="solid">
          <fgColor rgb="FF45818E"/>
          <bgColor rgb="FF45818E"/>
        </patternFill>
      </fill>
    </dxf>
    <dxf>
      <fill>
        <patternFill patternType="solid">
          <fgColor rgb="FFF3F3F3"/>
          <bgColor rgb="FFF3F3F3"/>
        </patternFill>
      </fill>
    </dxf>
    <dxf>
      <fill>
        <patternFill patternType="solid">
          <fgColor rgb="FFFFFFFF"/>
          <bgColor rgb="FFFFFFFF"/>
        </patternFill>
      </fill>
    </dxf>
    <dxf>
      <fill>
        <patternFill patternType="solid">
          <fgColor rgb="FF45818E"/>
          <bgColor rgb="FF45818E"/>
        </patternFill>
      </fill>
    </dxf>
  </dxfs>
  <tableStyles count="4" defaultTableStyle="TableStyleMedium2" defaultPivotStyle="PivotStyleLight16">
    <tableStyle name="Live tracking-style" pivot="0" count="3" xr9:uid="{30D7596A-6409-5544-B801-B804F9B4BF98}">
      <tableStyleElement type="headerRow" dxfId="124"/>
      <tableStyleElement type="firstRowStripe" dxfId="123"/>
      <tableStyleElement type="secondRowStripe" dxfId="122"/>
    </tableStyle>
    <tableStyle name="Live tracking-style 2" pivot="0" count="3" xr9:uid="{1E54527F-9810-4E43-A805-F4476EA1A400}">
      <tableStyleElement type="headerRow" dxfId="121"/>
      <tableStyleElement type="firstRowStripe" dxfId="120"/>
      <tableStyleElement type="secondRowStripe" dxfId="119"/>
    </tableStyle>
    <tableStyle name="Live tracking-style 3" pivot="0" count="3" xr9:uid="{3D8F318F-4870-6041-9D36-A18B3E0D99DD}">
      <tableStyleElement type="headerRow" dxfId="118"/>
      <tableStyleElement type="firstRowStripe" dxfId="117"/>
      <tableStyleElement type="secondRowStripe" dxfId="116"/>
    </tableStyle>
    <tableStyle name="Live tracking-style 4" pivot="0" count="3" xr9:uid="{EA4FBD74-AEE4-7C49-A77C-FBA157D0E248}">
      <tableStyleElement type="headerRow" dxfId="115"/>
      <tableStyleElement type="firstRowStripe" dxfId="114"/>
      <tableStyleElement type="secondRowStripe" dxfId="113"/>
    </tableStyle>
  </tableStyles>
  <colors>
    <mruColors>
      <color rgb="FFABA3C8"/>
      <color rgb="FFC9ECE6"/>
      <color rgb="FFAEB1D7"/>
      <color rgb="FF9A9CBC"/>
      <color rgb="FF00BAE2"/>
      <color rgb="FF35444D"/>
      <color rgb="FF36434E"/>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heicct.sharepoint.com/sites/PV-Global-2021-Auto-Ranking/Shared%20Documents/General/GAR%202.0/Information%20and%20data%20collection/TreemapOEMs_T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sheetName val="Sheet1"/>
      <sheetName val="i28_data"/>
      <sheetName val="Chart2030"/>
      <sheetName val="Chart2035"/>
      <sheetName val="Chart2"/>
    </sheetNames>
    <sheetDataSet>
      <sheetData sheetId="0" refreshError="1"/>
      <sheetData sheetId="1" refreshError="1"/>
      <sheetData sheetId="2"/>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Chang Shen" id="{D55A0F0D-0F03-344D-BB41-9483EC49D92C}" userId="S::c.shen@theicct.org::957dd03e-fc3a-4d5b-b088-5aa4943a755a" providerId="AD"/>
  <person displayName="Ilma Fadhil" id="{22219301-DA2A-9349-AEEA-3B24580D29C7}" userId="S::i.fadhil@theicct.org::1b736e75-5b31-42ab-9e1b-76d21d113eeb" providerId="AD"/>
</personList>
</file>

<file path=xl/theme/theme1.xml><?xml version="1.0" encoding="utf-8"?>
<a:theme xmlns:a="http://schemas.openxmlformats.org/drawingml/2006/main" name="ICCT">
  <a:themeElements>
    <a:clrScheme name="ICCT">
      <a:dk1>
        <a:srgbClr val="000000"/>
      </a:dk1>
      <a:lt1>
        <a:srgbClr val="FFFFFF"/>
      </a:lt1>
      <a:dk2>
        <a:srgbClr val="45555F"/>
      </a:dk2>
      <a:lt2>
        <a:srgbClr val="DED5B3"/>
      </a:lt2>
      <a:accent1>
        <a:srgbClr val="4E3227"/>
      </a:accent1>
      <a:accent2>
        <a:srgbClr val="007A94"/>
      </a:accent2>
      <a:accent3>
        <a:srgbClr val="D6492A"/>
      </a:accent3>
      <a:accent4>
        <a:srgbClr val="642566"/>
      </a:accent4>
      <a:accent5>
        <a:srgbClr val="6C953C"/>
      </a:accent5>
      <a:accent6>
        <a:srgbClr val="F4AF00"/>
      </a:accent6>
      <a:hlink>
        <a:srgbClr val="007A94"/>
      </a:hlink>
      <a:folHlink>
        <a:srgbClr val="6C953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C23" dT="2024-04-01T14:10:32.34" personId="{22219301-DA2A-9349-AEEA-3B24580D29C7}" id="{60722866-77DC-DB41-987E-F1A2B6363958}">
    <text>2022 H1 sales * 2</text>
  </threadedComment>
</ThreadedComments>
</file>

<file path=xl/threadedComments/threadedComment2.xml><?xml version="1.0" encoding="utf-8"?>
<ThreadedComments xmlns="http://schemas.microsoft.com/office/spreadsheetml/2018/threadedcomments" xmlns:x="http://schemas.openxmlformats.org/spreadsheetml/2006/main">
  <threadedComment ref="D4" dT="2024-01-19T18:28:40.12" personId="{D55A0F0D-0F03-344D-BB41-9483EC49D92C}" id="{17F778EC-6D3F-8B46-AA20-3EC00A7E5E13}">
    <text xml:space="preserve">Double check
</text>
  </threadedComment>
</ThreadedComments>
</file>

<file path=xl/worksheets/_rels/sheet12.xml.rels><?xml version="1.0" encoding="UTF-8" standalone="yes"?>
<Relationships xmlns="http://schemas.openxmlformats.org/package/2006/relationships"><Relationship Id="rId8" Type="http://schemas.openxmlformats.org/officeDocument/2006/relationships/hyperlink" Target="https://www.sohu.com/a/660997648_99954369;https:/m.jiemian.com/article/5980333.html" TargetMode="External"/><Relationship Id="rId3" Type="http://schemas.openxmlformats.org/officeDocument/2006/relationships/hyperlink" Target="https://newsroom.porsche.com/en/2022/company/porsche-annual-press-conference-financial-year-2021-annual-and-sustainability-report-27739.html" TargetMode="External"/><Relationship Id="rId7" Type="http://schemas.openxmlformats.org/officeDocument/2006/relationships/hyperlink" Target="https://www.sohu.com/a/680609514_121666514" TargetMode="External"/><Relationship Id="rId2" Type="http://schemas.openxmlformats.org/officeDocument/2006/relationships/hyperlink" Target="https://www1.hkexnews.hk/listedco/listconews/sehk/2022/0403/2022040300031.pdf" TargetMode="External"/><Relationship Id="rId1" Type="http://schemas.openxmlformats.org/officeDocument/2006/relationships/hyperlink" Target="https://www.renaultgroup.com/wp-content/uploads/2023/04/governance-roadshow-presentation_april-2023.pdf" TargetMode="External"/><Relationship Id="rId6" Type="http://schemas.openxmlformats.org/officeDocument/2006/relationships/hyperlink" Target="https://www.chinaventure.com.cn/news/110-20230413-374660.htm" TargetMode="External"/><Relationship Id="rId5" Type="http://schemas.openxmlformats.org/officeDocument/2006/relationships/hyperlink" Target="https://finance.sina.com.cn/chanjing/cskb/2022-03-26/doc-imcwiwss8268247.shtml" TargetMode="External"/><Relationship Id="rId10" Type="http://schemas.openxmlformats.org/officeDocument/2006/relationships/hyperlink" Target="https://www.bloomberg.com/news/articles/2023-04-07/koji-sato-teases-toyota-ev-strategy-in-first-appearance-as-ceo" TargetMode="External"/><Relationship Id="rId4" Type="http://schemas.openxmlformats.org/officeDocument/2006/relationships/hyperlink" Target="https://insideevs.com/news/516332/audi-2033-electric-except-china/" TargetMode="External"/><Relationship Id="rId9" Type="http://schemas.openxmlformats.org/officeDocument/2006/relationships/hyperlink" Target="https://global.honda/sustainability/cq_img/report/pdf/2022/Honda-SR-2022-en-all.pdf" TargetMode="Externa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8" Type="http://schemas.openxmlformats.org/officeDocument/2006/relationships/hyperlink" Target="https://www.renaultgroup.com/wp-content/uploads/2023/03/bods-release-on-2022-and-2023-compensation-of-the-corporate-officers.pdf" TargetMode="External"/><Relationship Id="rId13" Type="http://schemas.openxmlformats.org/officeDocument/2006/relationships/hyperlink" Target="https://www.globalsuzuki.com/ir/library/annualreport/" TargetMode="External"/><Relationship Id="rId3" Type="http://schemas.openxmlformats.org/officeDocument/2006/relationships/hyperlink" Target="https://www.stellantis.com/content/dam/stellantis-corporate/investors/financial-reports/Stellantis-NV-20221231-Annual-Report.pdf" TargetMode="External"/><Relationship Id="rId7" Type="http://schemas.openxmlformats.org/officeDocument/2006/relationships/hyperlink" Target="https://www.volkswagen-group.com/en/publications/more/remuneration-report-2023-2683" TargetMode="External"/><Relationship Id="rId12" Type="http://schemas.openxmlformats.org/officeDocument/2006/relationships/hyperlink" Target="https://www.mazda.com/en/investors/library/annual/" TargetMode="External"/><Relationship Id="rId2" Type="http://schemas.openxmlformats.org/officeDocument/2006/relationships/hyperlink" Target="https://investor.gm.com/static-files/b64a3a95-3f28-41e5-b43f-afc8a50c7ce6" TargetMode="External"/><Relationship Id="rId16" Type="http://schemas.openxmlformats.org/officeDocument/2006/relationships/comments" Target="../comments2.xml"/><Relationship Id="rId1" Type="http://schemas.openxmlformats.org/officeDocument/2006/relationships/hyperlink" Target="https://global.toyota/pages/global_toyota/ir/library/sec/20-F_202303_final.pdf" TargetMode="External"/><Relationship Id="rId6" Type="http://schemas.openxmlformats.org/officeDocument/2006/relationships/hyperlink" Target="https://group.mercedes-benz.com/dokumente/investoren/praesentationen/mercedes-benz-ir-esg23-presentation-ola-kaellenius.pdf" TargetMode="External"/><Relationship Id="rId11" Type="http://schemas.openxmlformats.org/officeDocument/2006/relationships/hyperlink" Target="https://www.jaguarlandrover.com/annual-report-2023" TargetMode="External"/><Relationship Id="rId5" Type="http://schemas.openxmlformats.org/officeDocument/2006/relationships/hyperlink" Target="https://www.nissan-global.com/EN/IR/LIBRARY/FR/2022/ASSETS/PDF/fr2022.pdf" TargetMode="External"/><Relationship Id="rId15" Type="http://schemas.openxmlformats.org/officeDocument/2006/relationships/vmlDrawing" Target="../drawings/vmlDrawing2.vml"/><Relationship Id="rId10" Type="http://schemas.openxmlformats.org/officeDocument/2006/relationships/hyperlink" Target="https://investors.volvocars.com/en/results-and-reports" TargetMode="External"/><Relationship Id="rId4" Type="http://schemas.openxmlformats.org/officeDocument/2006/relationships/hyperlink" Target="https://corporate.ford.com/social-impact/sustainability/integrated-report-additional-documents.html" TargetMode="External"/><Relationship Id="rId9" Type="http://schemas.openxmlformats.org/officeDocument/2006/relationships/hyperlink" Target="https://ir.tesla.com/sec-filings" TargetMode="External"/><Relationship Id="rId14" Type="http://schemas.openxmlformats.org/officeDocument/2006/relationships/hyperlink" Target="https://global.honda/content/dam/site/global-en/investors/cq_img/library/form_20-f/FY202303_form20f_e.pdf" TargetMode="External"/></Relationships>
</file>

<file path=xl/worksheets/_rels/sheet15.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89088-2158-8440-A472-F9BD2290F9EE}">
  <dimension ref="A1:C16"/>
  <sheetViews>
    <sheetView tabSelected="1" zoomScaleNormal="100" workbookViewId="0">
      <selection activeCell="C12" sqref="C12:C16"/>
    </sheetView>
  </sheetViews>
  <sheetFormatPr baseColWidth="10" defaultColWidth="11" defaultRowHeight="16"/>
  <cols>
    <col min="1" max="1" width="22" style="8" customWidth="1"/>
    <col min="2" max="2" width="90.6640625" style="8" customWidth="1"/>
    <col min="3" max="3" width="76.6640625" style="8" customWidth="1"/>
    <col min="4" max="4" width="11" style="8"/>
    <col min="5" max="5" width="20.33203125" style="8" customWidth="1"/>
    <col min="6" max="6" width="16.83203125" style="8" customWidth="1"/>
    <col min="7" max="16384" width="11" style="8"/>
  </cols>
  <sheetData>
    <row r="1" spans="1:3" ht="30" customHeight="1">
      <c r="A1" s="458" t="s">
        <v>0</v>
      </c>
      <c r="B1" s="458"/>
      <c r="C1" s="458"/>
    </row>
    <row r="2" spans="1:3" ht="21">
      <c r="A2" s="217"/>
      <c r="B2" s="217"/>
    </row>
    <row r="3" spans="1:3" ht="21">
      <c r="A3" s="288" t="s">
        <v>1</v>
      </c>
      <c r="B3" s="288" t="s">
        <v>2</v>
      </c>
      <c r="C3" s="288" t="s">
        <v>3</v>
      </c>
    </row>
    <row r="4" spans="1:3" ht="55" customHeight="1">
      <c r="A4" s="291" t="s">
        <v>4</v>
      </c>
      <c r="B4" s="88" t="s">
        <v>5</v>
      </c>
      <c r="C4" s="88"/>
    </row>
    <row r="5" spans="1:3" ht="55" customHeight="1">
      <c r="A5" s="290" t="s">
        <v>6</v>
      </c>
      <c r="B5" s="7" t="s">
        <v>7</v>
      </c>
      <c r="C5" s="7"/>
    </row>
    <row r="6" spans="1:3" ht="55" customHeight="1">
      <c r="A6" s="289" t="s">
        <v>8</v>
      </c>
      <c r="B6" s="88" t="s">
        <v>9</v>
      </c>
      <c r="C6" s="457" t="s">
        <v>10</v>
      </c>
    </row>
    <row r="7" spans="1:3" ht="55" customHeight="1">
      <c r="A7" s="218" t="s">
        <v>11</v>
      </c>
      <c r="B7" s="88" t="s">
        <v>12</v>
      </c>
      <c r="C7" s="457"/>
    </row>
    <row r="8" spans="1:3" ht="55" customHeight="1">
      <c r="A8" s="218" t="s">
        <v>13</v>
      </c>
      <c r="B8" s="88" t="s">
        <v>14</v>
      </c>
      <c r="C8" s="457"/>
    </row>
    <row r="9" spans="1:3" ht="55" customHeight="1">
      <c r="A9" s="219" t="s">
        <v>15</v>
      </c>
      <c r="B9" s="88" t="s">
        <v>16</v>
      </c>
      <c r="C9" s="457"/>
    </row>
    <row r="10" spans="1:3" ht="55" customHeight="1">
      <c r="A10" s="219" t="s">
        <v>17</v>
      </c>
      <c r="B10" s="88" t="s">
        <v>18</v>
      </c>
      <c r="C10" s="457"/>
    </row>
    <row r="11" spans="1:3" ht="55" customHeight="1">
      <c r="A11" s="219" t="s">
        <v>19</v>
      </c>
      <c r="B11" s="88" t="s">
        <v>20</v>
      </c>
      <c r="C11" s="457"/>
    </row>
    <row r="12" spans="1:3" ht="55" customHeight="1">
      <c r="A12" s="219" t="s">
        <v>21</v>
      </c>
      <c r="B12" s="88" t="s">
        <v>22</v>
      </c>
      <c r="C12" s="457" t="s">
        <v>23</v>
      </c>
    </row>
    <row r="13" spans="1:3" ht="55" customHeight="1">
      <c r="A13" s="219" t="s">
        <v>24</v>
      </c>
      <c r="B13" s="88" t="s">
        <v>25</v>
      </c>
      <c r="C13" s="457"/>
    </row>
    <row r="14" spans="1:3" ht="55" customHeight="1">
      <c r="A14" s="220" t="s">
        <v>26</v>
      </c>
      <c r="B14" s="88" t="s">
        <v>27</v>
      </c>
      <c r="C14" s="457"/>
    </row>
    <row r="15" spans="1:3" ht="55" customHeight="1">
      <c r="A15" s="220" t="s">
        <v>28</v>
      </c>
      <c r="B15" s="88" t="s">
        <v>577</v>
      </c>
      <c r="C15" s="457"/>
    </row>
    <row r="16" spans="1:3" ht="55" customHeight="1">
      <c r="A16" s="220" t="s">
        <v>29</v>
      </c>
      <c r="B16" s="88" t="s">
        <v>30</v>
      </c>
      <c r="C16" s="457"/>
    </row>
  </sheetData>
  <mergeCells count="3">
    <mergeCell ref="C6:C11"/>
    <mergeCell ref="C12:C16"/>
    <mergeCell ref="A1:C1"/>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A2357-7817-422C-AB5C-984C08004177}">
  <sheetPr>
    <tabColor theme="6" tint="0.39997558519241921"/>
  </sheetPr>
  <dimension ref="A1:FJ114"/>
  <sheetViews>
    <sheetView topLeftCell="A37" zoomScale="70" zoomScaleNormal="70" workbookViewId="0">
      <selection activeCell="L111" sqref="L111"/>
    </sheetView>
  </sheetViews>
  <sheetFormatPr baseColWidth="10" defaultColWidth="11" defaultRowHeight="16"/>
  <cols>
    <col min="1" max="1" width="6.5" style="8" customWidth="1"/>
    <col min="2" max="2" width="16.83203125" style="8" customWidth="1"/>
    <col min="3" max="8" width="13.83203125" style="8" customWidth="1"/>
    <col min="9" max="9" width="19.33203125" style="8" customWidth="1"/>
    <col min="10" max="10" width="15.1640625" style="8" customWidth="1"/>
    <col min="11" max="19" width="13.83203125" style="8" customWidth="1"/>
    <col min="20" max="20" width="19.83203125" style="8" bestFit="1" customWidth="1"/>
    <col min="21" max="25" width="13.83203125" style="8" customWidth="1"/>
    <col min="26" max="26" width="12.83203125" style="8" customWidth="1"/>
    <col min="27" max="27" width="13.83203125" style="8" customWidth="1"/>
    <col min="28" max="28" width="16.5" style="8" customWidth="1"/>
    <col min="29" max="30" width="13.83203125" style="8" customWidth="1"/>
    <col min="31" max="32" width="4.5" style="8" customWidth="1"/>
    <col min="33" max="33" width="7" style="8" customWidth="1"/>
    <col min="34" max="35" width="3.83203125" style="8" customWidth="1"/>
    <col min="36" max="36" width="7" style="8" customWidth="1"/>
    <col min="37" max="38" width="3.83203125" style="8" customWidth="1"/>
    <col min="39" max="39" width="7" style="8" customWidth="1"/>
    <col min="40" max="41" width="3.83203125" style="8" customWidth="1"/>
    <col min="42" max="42" width="6.83203125" style="8" customWidth="1"/>
    <col min="43" max="44" width="3.83203125" style="8" customWidth="1"/>
    <col min="45" max="45" width="7" style="8" customWidth="1"/>
    <col min="46" max="47" width="3.83203125" style="8" customWidth="1"/>
    <col min="48" max="48" width="7" style="8" customWidth="1"/>
    <col min="49" max="50" width="3.83203125" style="8" customWidth="1"/>
    <col min="51" max="51" width="8" style="8" customWidth="1"/>
    <col min="52" max="53" width="4.83203125" style="8" customWidth="1"/>
    <col min="54" max="54" width="7" style="8" customWidth="1"/>
    <col min="55" max="56" width="3.83203125" style="8" customWidth="1"/>
    <col min="57" max="57" width="7" style="8" customWidth="1"/>
    <col min="58" max="59" width="3.83203125" style="8" customWidth="1"/>
    <col min="60" max="60" width="7" style="8" customWidth="1"/>
    <col min="61" max="62" width="3.83203125" style="8" customWidth="1"/>
    <col min="63" max="76" width="13.83203125" style="8" customWidth="1"/>
    <col min="77" max="77" width="4.5" style="8" customWidth="1"/>
    <col min="78" max="78" width="4.1640625" style="8" customWidth="1"/>
    <col min="79" max="79" width="3.6640625" style="8" customWidth="1"/>
    <col min="80" max="80" width="5" style="8" customWidth="1"/>
    <col min="81" max="81" width="4" style="8" customWidth="1"/>
    <col min="82" max="82" width="4.1640625" style="8" customWidth="1"/>
    <col min="83" max="83" width="3.33203125" style="8" customWidth="1"/>
    <col min="84" max="84" width="4.5" style="8" customWidth="1"/>
    <col min="85" max="85" width="4" style="8" customWidth="1"/>
    <col min="86" max="86" width="4.6640625" style="8" customWidth="1"/>
    <col min="87" max="87" width="3.1640625" style="8" customWidth="1"/>
    <col min="88" max="88" width="5.1640625" style="8" customWidth="1"/>
    <col min="89" max="89" width="4" style="8" customWidth="1"/>
    <col min="90" max="90" width="5.1640625" style="8" customWidth="1"/>
    <col min="91" max="91" width="4.1640625" style="8" customWidth="1"/>
    <col min="92" max="92" width="5" style="8" customWidth="1"/>
    <col min="93" max="93" width="3.6640625" style="8" customWidth="1"/>
    <col min="94" max="94" width="5" style="8" customWidth="1"/>
    <col min="95" max="95" width="3.5" style="8" customWidth="1"/>
    <col min="96" max="96" width="5.1640625" style="8" customWidth="1"/>
    <col min="97" max="97" width="3.83203125" style="8" customWidth="1"/>
    <col min="98" max="98" width="4" style="8" customWidth="1"/>
    <col min="99" max="111" width="6.5" style="8" customWidth="1"/>
    <col min="112" max="112" width="6.83203125" style="8" customWidth="1"/>
    <col min="113" max="113" width="8" style="8" customWidth="1"/>
    <col min="114" max="114" width="8.5" style="8" customWidth="1"/>
    <col min="115" max="115" width="4.5" style="8" customWidth="1"/>
    <col min="116" max="116" width="11" style="8"/>
    <col min="117" max="117" width="16.83203125" style="8" customWidth="1"/>
    <col min="118" max="118" width="21.5" style="8" customWidth="1"/>
    <col min="119" max="119" width="21.6640625" style="8" customWidth="1"/>
    <col min="120" max="120" width="15.5" style="8" customWidth="1"/>
    <col min="121" max="121" width="14.6640625" style="8" customWidth="1"/>
    <col min="122" max="123" width="11" style="8"/>
    <col min="124" max="124" width="15" style="8" customWidth="1"/>
    <col min="125" max="125" width="20.6640625" style="8" customWidth="1"/>
    <col min="126" max="126" width="14.83203125" style="8" customWidth="1"/>
    <col min="127" max="127" width="15.5" style="8" customWidth="1"/>
    <col min="128" max="128" width="17.33203125" style="8" customWidth="1"/>
    <col min="129" max="129" width="18.83203125" style="8" customWidth="1"/>
    <col min="130" max="130" width="11" style="8"/>
    <col min="131" max="131" width="13.33203125" style="8" customWidth="1"/>
    <col min="132" max="133" width="11" style="8"/>
    <col min="134" max="134" width="18.33203125" style="8" customWidth="1"/>
    <col min="135" max="135" width="15" style="8" customWidth="1"/>
    <col min="136" max="136" width="21.33203125" style="8" customWidth="1"/>
    <col min="137" max="137" width="24.6640625" style="8" customWidth="1"/>
    <col min="138" max="138" width="13.6640625" style="8" customWidth="1"/>
    <col min="139" max="139" width="13.1640625" style="8" customWidth="1"/>
    <col min="140" max="149" width="11" style="8"/>
    <col min="150" max="164" width="11" style="8" customWidth="1"/>
    <col min="165" max="165" width="11" style="8"/>
    <col min="166" max="166" width="0" style="8" hidden="1" customWidth="1"/>
    <col min="167" max="16384" width="11" style="8"/>
  </cols>
  <sheetData>
    <row r="1" spans="1:166" ht="36" customHeight="1" thickTop="1">
      <c r="B1" s="497" t="s">
        <v>31</v>
      </c>
      <c r="C1" s="498" t="s">
        <v>32</v>
      </c>
      <c r="D1" s="498" t="str">
        <f>P1</f>
        <v>Technology performance</v>
      </c>
      <c r="E1" s="498" t="str">
        <f>V1</f>
        <v>Strategic vision</v>
      </c>
      <c r="F1" s="499" t="s">
        <v>33</v>
      </c>
      <c r="G1" s="499"/>
      <c r="J1" s="459" t="s">
        <v>31</v>
      </c>
      <c r="K1" s="460" t="s">
        <v>33</v>
      </c>
      <c r="L1" s="460"/>
      <c r="M1" s="461" t="s">
        <v>32</v>
      </c>
      <c r="N1" s="461"/>
      <c r="O1" s="461"/>
      <c r="P1" s="461" t="s">
        <v>34</v>
      </c>
      <c r="Q1" s="461"/>
      <c r="R1" s="461"/>
      <c r="S1" s="461"/>
      <c r="T1" s="461"/>
      <c r="U1" s="461"/>
      <c r="V1" s="461" t="s">
        <v>35</v>
      </c>
      <c r="W1" s="461"/>
      <c r="X1" s="461"/>
      <c r="Y1" s="461"/>
      <c r="AB1" s="459" t="s">
        <v>36</v>
      </c>
      <c r="AC1" s="461" t="s">
        <v>37</v>
      </c>
      <c r="AD1" s="461"/>
      <c r="AE1" s="461"/>
      <c r="AF1" s="461"/>
      <c r="AG1" s="461" t="s">
        <v>32</v>
      </c>
      <c r="AH1" s="461"/>
      <c r="AI1" s="461"/>
      <c r="AJ1" s="461"/>
      <c r="AK1" s="461"/>
      <c r="AL1" s="461"/>
      <c r="AM1" s="461" t="s">
        <v>34</v>
      </c>
      <c r="AN1" s="461"/>
      <c r="AO1" s="461"/>
      <c r="AP1" s="461"/>
      <c r="AQ1" s="461"/>
      <c r="AR1" s="461"/>
      <c r="AS1" s="461"/>
      <c r="AT1" s="461"/>
      <c r="AU1" s="461"/>
      <c r="AV1" s="461"/>
      <c r="AW1" s="461"/>
      <c r="AX1" s="461"/>
      <c r="AY1" s="461"/>
      <c r="AZ1" s="461"/>
      <c r="BA1" s="461"/>
      <c r="BB1" s="461" t="s">
        <v>35</v>
      </c>
      <c r="BC1" s="461"/>
      <c r="BD1" s="461"/>
      <c r="BE1" s="461"/>
      <c r="BF1" s="461"/>
      <c r="BG1" s="461"/>
      <c r="BH1" s="461"/>
      <c r="BI1" s="461"/>
      <c r="BJ1" s="461"/>
      <c r="BK1" s="287"/>
      <c r="BL1" s="287"/>
      <c r="DM1" s="464"/>
      <c r="DN1" s="469" t="s">
        <v>32</v>
      </c>
      <c r="DO1" s="470"/>
      <c r="DP1" s="470"/>
      <c r="DQ1" s="471"/>
      <c r="DT1" s="464"/>
      <c r="DU1" s="469" t="s">
        <v>34</v>
      </c>
      <c r="DV1" s="470"/>
      <c r="DW1" s="470"/>
      <c r="DX1" s="470"/>
      <c r="DY1" s="470"/>
      <c r="DZ1" s="470"/>
      <c r="EA1" s="471"/>
      <c r="ED1" s="464"/>
      <c r="EE1" s="469" t="s">
        <v>35</v>
      </c>
      <c r="EF1" s="470"/>
      <c r="EG1" s="470"/>
      <c r="EH1" s="470"/>
      <c r="EI1" s="471"/>
    </row>
    <row r="2" spans="1:166" ht="34" customHeight="1">
      <c r="B2" s="461"/>
      <c r="C2" s="466"/>
      <c r="D2" s="466"/>
      <c r="E2" s="466"/>
      <c r="F2" s="499"/>
      <c r="G2" s="499"/>
      <c r="J2" s="459"/>
      <c r="K2" s="460"/>
      <c r="L2" s="460"/>
      <c r="M2" s="122" t="s">
        <v>38</v>
      </c>
      <c r="N2" s="122" t="s">
        <v>13</v>
      </c>
      <c r="O2" s="123" t="s">
        <v>39</v>
      </c>
      <c r="P2" s="122" t="s">
        <v>40</v>
      </c>
      <c r="Q2" s="122" t="s">
        <v>17</v>
      </c>
      <c r="R2" s="122" t="s">
        <v>19</v>
      </c>
      <c r="S2" s="122" t="s">
        <v>41</v>
      </c>
      <c r="T2" s="122" t="s">
        <v>42</v>
      </c>
      <c r="U2" s="123" t="s">
        <v>39</v>
      </c>
      <c r="V2" s="122" t="s">
        <v>43</v>
      </c>
      <c r="W2" s="122" t="s">
        <v>28</v>
      </c>
      <c r="X2" s="122" t="s">
        <v>44</v>
      </c>
      <c r="Y2" s="123" t="s">
        <v>39</v>
      </c>
      <c r="AB2" s="459"/>
      <c r="AC2" s="461"/>
      <c r="AD2" s="461"/>
      <c r="AE2" s="461"/>
      <c r="AF2" s="461"/>
      <c r="AG2" s="466" t="s">
        <v>45</v>
      </c>
      <c r="AH2" s="466"/>
      <c r="AI2" s="466"/>
      <c r="AJ2" s="466" t="s">
        <v>13</v>
      </c>
      <c r="AK2" s="466"/>
      <c r="AL2" s="466"/>
      <c r="AM2" s="466" t="s">
        <v>40</v>
      </c>
      <c r="AN2" s="466"/>
      <c r="AO2" s="466"/>
      <c r="AP2" s="466" t="s">
        <v>46</v>
      </c>
      <c r="AQ2" s="466"/>
      <c r="AR2" s="466"/>
      <c r="AS2" s="466" t="s">
        <v>47</v>
      </c>
      <c r="AT2" s="466"/>
      <c r="AU2" s="466"/>
      <c r="AV2" s="466" t="s">
        <v>41</v>
      </c>
      <c r="AW2" s="466"/>
      <c r="AX2" s="466"/>
      <c r="AY2" s="466" t="s">
        <v>42</v>
      </c>
      <c r="AZ2" s="466"/>
      <c r="BA2" s="466"/>
      <c r="BB2" s="466" t="s">
        <v>48</v>
      </c>
      <c r="BC2" s="466"/>
      <c r="BD2" s="466"/>
      <c r="BE2" s="466" t="s">
        <v>49</v>
      </c>
      <c r="BF2" s="466"/>
      <c r="BG2" s="466"/>
      <c r="BH2" s="466" t="s">
        <v>44</v>
      </c>
      <c r="BI2" s="466"/>
      <c r="BJ2" s="466"/>
      <c r="BM2" s="286"/>
      <c r="DM2" s="465"/>
      <c r="DN2" s="38" t="s">
        <v>50</v>
      </c>
      <c r="DO2" s="38" t="s">
        <v>51</v>
      </c>
      <c r="DP2" s="462" t="s">
        <v>52</v>
      </c>
      <c r="DQ2" s="463"/>
      <c r="DT2" s="465"/>
      <c r="DU2" s="38" t="s">
        <v>53</v>
      </c>
      <c r="DV2" s="38" t="s">
        <v>54</v>
      </c>
      <c r="DW2" s="38" t="s">
        <v>55</v>
      </c>
      <c r="DX2" s="38" t="s">
        <v>56</v>
      </c>
      <c r="DY2" s="38" t="s">
        <v>57</v>
      </c>
      <c r="DZ2" s="462" t="s">
        <v>52</v>
      </c>
      <c r="EA2" s="463"/>
      <c r="ED2" s="465"/>
      <c r="EE2" s="38" t="s">
        <v>58</v>
      </c>
      <c r="EF2" s="38" t="s">
        <v>59</v>
      </c>
      <c r="EG2" s="38" t="s">
        <v>60</v>
      </c>
      <c r="EH2" s="462" t="s">
        <v>52</v>
      </c>
      <c r="EI2" s="463"/>
    </row>
    <row r="3" spans="1:166" ht="18" customHeight="1">
      <c r="A3" s="166" t="s">
        <v>61</v>
      </c>
      <c r="B3" s="30" t="str">
        <f t="shared" ref="B3:B23" si="0">_xlfn.XLOOKUP(A3,$I$27:$I$47,$J$27:$J$47)</f>
        <v>Tesla</v>
      </c>
      <c r="C3" s="31">
        <f t="shared" ref="C3:E21" si="1">ROUND(_xlfn.XLOOKUP($A3,$B$27:$B$47,C$27:C$47),0)</f>
        <v>73</v>
      </c>
      <c r="D3" s="31">
        <f t="shared" si="1"/>
        <v>79</v>
      </c>
      <c r="E3" s="31">
        <f t="shared" si="1"/>
        <v>100</v>
      </c>
      <c r="F3" s="35">
        <f t="shared" ref="F3:F23" si="2">_xlfn.XLOOKUP($A3,$B$27:$B$47,F$27:F$47)</f>
        <v>83.933333333333337</v>
      </c>
      <c r="G3" s="493" t="s">
        <v>62</v>
      </c>
      <c r="I3" s="21" t="s">
        <v>61</v>
      </c>
      <c r="J3" s="176" t="str">
        <f t="shared" ref="J3:J23" si="3">_xlfn.XLOOKUP(I3,$I$27:$I$47,$J$27:$J$47)</f>
        <v>Tesla</v>
      </c>
      <c r="K3" s="35">
        <f t="shared" ref="K3:K23" si="4">_xlfn.XLOOKUP($I3,$B$27:$B$47,F$27:F$47)</f>
        <v>83.933333333333337</v>
      </c>
      <c r="L3" s="495" t="s">
        <v>62</v>
      </c>
      <c r="M3" s="110">
        <f t="shared" ref="M3:M21" si="5">ROUND(_xlfn.XLOOKUP($I3,$B$51:$B$71,C$51:C$71),0)</f>
        <v>100</v>
      </c>
      <c r="N3" s="110">
        <f t="shared" ref="N3:N21" si="6">ROUND(_xlfn.XLOOKUP($I3,$B$51:$B$71,D$51:D$71),0)</f>
        <v>46</v>
      </c>
      <c r="O3" s="31">
        <f t="shared" ref="O3:O23" si="7">ROUND(_xlfn.XLOOKUP($I3,$B$27:$B$47,C$27:C$47),0)</f>
        <v>73</v>
      </c>
      <c r="P3" s="110">
        <f t="shared" ref="P3:P21" si="8">ROUND(_xlfn.XLOOKUP($I3,$B$51:$B$71,E$51:E$71),0)</f>
        <v>94</v>
      </c>
      <c r="Q3" s="110">
        <f t="shared" ref="Q3:Q21" si="9">ROUND(_xlfn.XLOOKUP($I3,$B$51:$B$71,F$51:F$71),0)</f>
        <v>100</v>
      </c>
      <c r="R3" s="110">
        <f t="shared" ref="R3:R21" si="10">ROUND(_xlfn.XLOOKUP($I3,$B$51:$B$71,G$51:G$71),0)</f>
        <v>100</v>
      </c>
      <c r="S3" s="110">
        <f t="shared" ref="S3:S21" si="11">ROUND(_xlfn.XLOOKUP($I3,$B$51:$B$71,H$51:H$71),0)</f>
        <v>0</v>
      </c>
      <c r="T3" s="110">
        <f t="shared" ref="T3:T21" si="12">ROUND(_xlfn.XLOOKUP($I3,$B$51:$B$71,I$51:I$71),0)</f>
        <v>100</v>
      </c>
      <c r="U3" s="31">
        <f t="shared" ref="U3:U23" si="13">ROUND(_xlfn.XLOOKUP($I3,$B$27:$B$47,D$27:D$47),0)</f>
        <v>79</v>
      </c>
      <c r="V3" s="110">
        <f t="shared" ref="V3:V21" si="14">ROUND(_xlfn.XLOOKUP($I3,$B$51:$B$71,J$51:J$71),0)</f>
        <v>100</v>
      </c>
      <c r="W3" s="110">
        <f t="shared" ref="W3:W21" si="15">ROUND(_xlfn.XLOOKUP($I3,$B$51:$B$71,K$51:K$71),0)</f>
        <v>100</v>
      </c>
      <c r="X3" s="110">
        <f t="shared" ref="X3:X21" si="16">ROUND(_xlfn.XLOOKUP($I3,$B$51:$B$71,L$51:L$71),0)</f>
        <v>100</v>
      </c>
      <c r="Y3" s="31">
        <f t="shared" ref="Y3:Y23" si="17">ROUND(_xlfn.XLOOKUP($I3,$B$27:$B$47,E$27:E$47),0)</f>
        <v>100</v>
      </c>
      <c r="AA3" s="21" t="str">
        <f t="shared" ref="AA3:AA23" si="18">I3</f>
        <v>Tesla</v>
      </c>
      <c r="AB3" s="30" t="str">
        <f t="shared" ref="AB3:AB23" si="19">J3</f>
        <v>Tesla</v>
      </c>
      <c r="AC3" s="478" t="s">
        <v>63</v>
      </c>
      <c r="AD3" s="35">
        <f t="shared" ref="AD3:AD23" si="20">_xlfn.XLOOKUP($AB3,$J$3:$J$23,$K$3:$K$23)</f>
        <v>83.933333333333337</v>
      </c>
      <c r="AE3" s="23" t="str">
        <f t="shared" ref="AE3:AE23" si="21">IF(M27&gt;0,"▲",IF(M27&lt;0,"▼",""))</f>
        <v>▲</v>
      </c>
      <c r="AF3" s="215">
        <f t="shared" ref="AF3:AF15" si="22">M27</f>
        <v>1</v>
      </c>
      <c r="AG3" s="169">
        <f t="shared" ref="AG3:AG23" si="23">_xlfn.XLOOKUP($AB3,$J$3:$J$23,M$3:M$23)</f>
        <v>100</v>
      </c>
      <c r="AH3" s="23" t="str">
        <f t="shared" ref="AH3:AH15" si="24">IF(N27&gt;0,"▲",IF(N27&lt;0,"▼",""))</f>
        <v/>
      </c>
      <c r="AI3" s="215">
        <f t="shared" ref="AI3:AI15" si="25">N27</f>
        <v>0</v>
      </c>
      <c r="AJ3" s="169">
        <f t="shared" ref="AJ3:AJ23" si="26">_xlfn.XLOOKUP($AB3,$J$3:$J$23,N$3:N$23)</f>
        <v>46</v>
      </c>
      <c r="AK3" s="23" t="str">
        <f t="shared" ref="AK3:AK15" si="27">IF(O27&gt;0,"▲",IF(O27&lt;0,"▼",""))</f>
        <v>▲</v>
      </c>
      <c r="AL3" s="215">
        <f t="shared" ref="AL3:AL15" si="28">O27</f>
        <v>8</v>
      </c>
      <c r="AM3" s="169">
        <f t="shared" ref="AM3:AM23" si="29">_xlfn.XLOOKUP($AB3,$J$3:$J$23,P$3:P$23)</f>
        <v>94</v>
      </c>
      <c r="AN3" s="23" t="str">
        <f t="shared" ref="AN3:AN15" si="30">IF(P27&gt;0,"▲",IF(P27&lt;0,"▼",""))</f>
        <v>▼</v>
      </c>
      <c r="AO3" s="215">
        <f t="shared" ref="AO3:AO15" si="31">P27</f>
        <v>-6</v>
      </c>
      <c r="AP3" s="169">
        <f t="shared" ref="AP3:AP23" si="32">_xlfn.XLOOKUP($AB3,$J$3:$J$23,Q$3:Q$23)</f>
        <v>100</v>
      </c>
      <c r="AQ3" s="23" t="str">
        <f t="shared" ref="AQ3:AQ15" si="33">IF(Q27&gt;0,"▲",IF(Q27&lt;0,"▼",""))</f>
        <v/>
      </c>
      <c r="AR3" s="215">
        <f t="shared" ref="AR3:AR15" si="34">Q27</f>
        <v>0</v>
      </c>
      <c r="AS3" s="169">
        <f t="shared" ref="AS3:AS23" si="35">_xlfn.XLOOKUP($AB3,$J$3:$J$23,R$3:R$23)</f>
        <v>100</v>
      </c>
      <c r="AT3" s="23" t="str">
        <f t="shared" ref="AT3:AT15" si="36">IF(R27&gt;0,"▲",IF(R27&lt;0,"▼",""))</f>
        <v/>
      </c>
      <c r="AU3" s="215">
        <f t="shared" ref="AU3:AU15" si="37">R27</f>
        <v>0</v>
      </c>
      <c r="AV3" s="169">
        <f t="shared" ref="AV3:AV23" si="38">_xlfn.XLOOKUP($AB3,$J$3:$J$23,S$3:S$23)</f>
        <v>0</v>
      </c>
      <c r="AW3" s="23" t="str">
        <f t="shared" ref="AW3:AW15" si="39">IF(S27&gt;0,"▲",IF(S27&lt;0,"▼",""))</f>
        <v/>
      </c>
      <c r="AX3" s="215">
        <f t="shared" ref="AX3:AX15" si="40">S27</f>
        <v>0</v>
      </c>
      <c r="AY3" s="169">
        <f t="shared" ref="AY3:AY23" si="41">_xlfn.XLOOKUP($AB3,$J$3:$J$23,T$3:T$23)</f>
        <v>100</v>
      </c>
      <c r="AZ3" s="23" t="str">
        <f t="shared" ref="AZ3:AZ15" si="42">IF(T27&gt;0,"▲",IF(T27&lt;0,"▼",""))</f>
        <v/>
      </c>
      <c r="BA3" s="215">
        <f t="shared" ref="BA3:BA15" si="43">T27</f>
        <v>0</v>
      </c>
      <c r="BB3" s="169">
        <f t="shared" ref="BB3:BB23" si="44">_xlfn.XLOOKUP($AB3,$J$3:$J$23,V$3:V$23)</f>
        <v>100</v>
      </c>
      <c r="BC3" s="23" t="str">
        <f t="shared" ref="BC3:BC15" si="45">IF(U27&gt;0,"▲",IF(U27&lt;0,"▼",""))</f>
        <v/>
      </c>
      <c r="BD3" s="215">
        <f t="shared" ref="BD3:BD15" si="46">U27</f>
        <v>0</v>
      </c>
      <c r="BE3" s="169">
        <f t="shared" ref="BE3:BE23" si="47">_xlfn.XLOOKUP($AB3,$J$3:$J$23,W$3:W$23)</f>
        <v>100</v>
      </c>
      <c r="BF3" s="23" t="str">
        <f t="shared" ref="BF3:BF15" si="48">IF(V27&gt;0,"▲",IF(V27&lt;0,"▼",""))</f>
        <v/>
      </c>
      <c r="BG3" s="215">
        <f t="shared" ref="BG3:BG15" si="49">V27</f>
        <v>0</v>
      </c>
      <c r="BH3" s="169">
        <f t="shared" ref="BH3:BH23" si="50">_xlfn.XLOOKUP($AB3,$J$3:$J$23,X$3:X$23)</f>
        <v>100</v>
      </c>
      <c r="BI3" s="23" t="str">
        <f t="shared" ref="BI3:BI15" si="51">IF(W27&gt;0,"▲",IF(W27&lt;0,"▼",""))</f>
        <v/>
      </c>
      <c r="BJ3" s="215">
        <f t="shared" ref="BJ3:BJ15" si="52">W27</f>
        <v>0</v>
      </c>
      <c r="BY3" s="33"/>
      <c r="BZ3" s="33"/>
      <c r="CA3" s="33"/>
      <c r="CB3" s="33"/>
      <c r="CC3" s="33"/>
      <c r="CD3" s="33"/>
      <c r="CE3" s="33"/>
      <c r="CF3" s="33"/>
      <c r="CV3" s="33"/>
      <c r="CW3" s="33"/>
      <c r="CX3" s="33"/>
      <c r="CY3" s="33"/>
      <c r="CZ3" s="33"/>
      <c r="DA3" s="33"/>
      <c r="DB3" s="33"/>
      <c r="DC3" s="33"/>
      <c r="DD3" s="33"/>
      <c r="DE3" s="33"/>
      <c r="DF3" s="33"/>
      <c r="DG3" s="33"/>
      <c r="DH3" s="33"/>
      <c r="DL3" s="63" t="s">
        <v>64</v>
      </c>
      <c r="DM3" s="30" t="str">
        <f t="shared" ref="DM3:DM23" si="53">_xlfn.XLOOKUP(DL3,$I$27:$I$47,$J$27:$J$47)</f>
        <v>BYD</v>
      </c>
      <c r="DN3" s="39">
        <f t="shared" ref="DN3:DN22" si="54">ROUND(_xlfn.XLOOKUP($DL3,$B$51:$B$71,C$51:C$71),0)</f>
        <v>76</v>
      </c>
      <c r="DO3" s="40">
        <f t="shared" ref="DO3:DO22" si="55">ROUND(_xlfn.XLOOKUP($DL3,$B$51:$B$71,D$51:D$71),0)</f>
        <v>77</v>
      </c>
      <c r="DP3" s="31">
        <f t="shared" ref="DP3:DP22" si="56">ROUND(_xlfn.XLOOKUP($DL3,$B$27:$B$47,C$27:C$47),0)</f>
        <v>77</v>
      </c>
      <c r="DQ3" s="467" t="s">
        <v>62</v>
      </c>
      <c r="DR3" s="70"/>
      <c r="DS3" s="8" t="s">
        <v>65</v>
      </c>
      <c r="DT3" s="30" t="str">
        <f t="shared" ref="DT3:DT23" si="57">_xlfn.XLOOKUP(DS3,$I$27:$I$47,$J$27:$J$47)</f>
        <v>BMW</v>
      </c>
      <c r="DU3" s="39">
        <f t="shared" ref="DU3:DU21" si="58">ROUND(_xlfn.XLOOKUP($DS3,$B$51:$B$71,E$51:E$71),0)</f>
        <v>73</v>
      </c>
      <c r="DV3" s="39">
        <f t="shared" ref="DV3:DV21" si="59">ROUND(_xlfn.XLOOKUP($DS3,$B$51:$B$71,F$51:F$71),0)</f>
        <v>54</v>
      </c>
      <c r="DW3" s="39">
        <f t="shared" ref="DW3:DW21" si="60">ROUND(_xlfn.XLOOKUP($DS3,$B$51:$B$71,G$51:G$71),0)</f>
        <v>90</v>
      </c>
      <c r="DX3" s="39">
        <f t="shared" ref="DX3:DX21" si="61">ROUND(_xlfn.XLOOKUP($DS3,$B$51:$B$71,H$51:H$71),0)</f>
        <v>100</v>
      </c>
      <c r="DY3" s="39">
        <f t="shared" ref="DY3:DY21" si="62">ROUND(_xlfn.XLOOKUP($DS3,$B$51:$B$71,I$51:I$71),0)</f>
        <v>93</v>
      </c>
      <c r="DZ3" s="51">
        <f t="shared" ref="DZ3:DZ22" si="63">ROUND(_xlfn.XLOOKUP($DS3,$B$27:$B$47,D$27:D$47),0)</f>
        <v>82</v>
      </c>
      <c r="EA3" s="475" t="s">
        <v>62</v>
      </c>
      <c r="EC3" s="8" t="s">
        <v>61</v>
      </c>
      <c r="ED3" s="30" t="str">
        <f t="shared" ref="ED3:ED23" si="64">_xlfn.XLOOKUP(EC3,$I$27:$I$47,$J$27:$J$47)</f>
        <v>Tesla</v>
      </c>
      <c r="EE3" s="39">
        <f t="shared" ref="EE3:EE22" si="65">ROUND(_xlfn.XLOOKUP($EC3,$B$51:$B$71,J$51:J$71),0)</f>
        <v>100</v>
      </c>
      <c r="EF3" s="39">
        <f t="shared" ref="EF3:EF22" si="66">ROUND(_xlfn.XLOOKUP($EC3,$B$51:$B$71,K$51:K$71),0)</f>
        <v>100</v>
      </c>
      <c r="EG3" s="39">
        <f t="shared" ref="EG3:EG22" si="67">ROUND(_xlfn.XLOOKUP($EC3,$B$51:$B$71,L$51:L$71),0)</f>
        <v>100</v>
      </c>
      <c r="EH3" s="31">
        <f t="shared" ref="EH3:EH22" si="68">ROUND(_xlfn.XLOOKUP($EC3,$B$27:$B$47,E$27:E$47),0)</f>
        <v>100</v>
      </c>
      <c r="EI3" s="475" t="s">
        <v>62</v>
      </c>
      <c r="EU3" s="37"/>
      <c r="EX3" s="33"/>
      <c r="EY3" s="33"/>
      <c r="EZ3" s="37"/>
      <c r="FA3" s="33"/>
      <c r="FB3" s="33"/>
      <c r="FC3" s="33"/>
      <c r="FD3" s="33"/>
      <c r="FE3" s="33"/>
      <c r="FF3" s="37"/>
      <c r="FG3" s="33"/>
      <c r="FH3" s="33"/>
      <c r="FI3" s="33"/>
      <c r="FJ3" s="37"/>
    </row>
    <row r="4" spans="1:166" ht="18" customHeight="1">
      <c r="A4" s="167" t="s">
        <v>64</v>
      </c>
      <c r="B4" s="30" t="str">
        <f t="shared" si="0"/>
        <v>BYD</v>
      </c>
      <c r="C4" s="31">
        <f t="shared" si="1"/>
        <v>77</v>
      </c>
      <c r="D4" s="31">
        <f t="shared" si="1"/>
        <v>52</v>
      </c>
      <c r="E4" s="31">
        <f t="shared" si="1"/>
        <v>81</v>
      </c>
      <c r="F4" s="35">
        <f t="shared" si="2"/>
        <v>69.811111111111117</v>
      </c>
      <c r="G4" s="494"/>
      <c r="I4" s="21" t="s">
        <v>64</v>
      </c>
      <c r="J4" s="176" t="str">
        <f t="shared" si="3"/>
        <v>BYD</v>
      </c>
      <c r="K4" s="35">
        <f t="shared" si="4"/>
        <v>69.811111111111117</v>
      </c>
      <c r="L4" s="494"/>
      <c r="M4" s="110">
        <f t="shared" si="5"/>
        <v>76</v>
      </c>
      <c r="N4" s="110">
        <f t="shared" si="6"/>
        <v>77</v>
      </c>
      <c r="O4" s="31">
        <f t="shared" si="7"/>
        <v>77</v>
      </c>
      <c r="P4" s="110">
        <f t="shared" si="8"/>
        <v>69</v>
      </c>
      <c r="Q4" s="110">
        <f t="shared" si="9"/>
        <v>25</v>
      </c>
      <c r="R4" s="110">
        <f t="shared" si="10"/>
        <v>64</v>
      </c>
      <c r="S4" s="110">
        <f t="shared" si="11"/>
        <v>0</v>
      </c>
      <c r="T4" s="110">
        <f t="shared" si="12"/>
        <v>100</v>
      </c>
      <c r="U4" s="31">
        <f t="shared" si="13"/>
        <v>52</v>
      </c>
      <c r="V4" s="110">
        <f t="shared" si="14"/>
        <v>76</v>
      </c>
      <c r="W4" s="110">
        <f t="shared" si="15"/>
        <v>68</v>
      </c>
      <c r="X4" s="110">
        <f t="shared" si="16"/>
        <v>100</v>
      </c>
      <c r="Y4" s="31">
        <f t="shared" si="17"/>
        <v>81</v>
      </c>
      <c r="AA4" s="21" t="str">
        <f t="shared" si="18"/>
        <v>BYD</v>
      </c>
      <c r="AB4" s="30" t="str">
        <f t="shared" si="19"/>
        <v>BYD</v>
      </c>
      <c r="AC4" s="478"/>
      <c r="AD4" s="35">
        <f t="shared" si="20"/>
        <v>69.811111111111117</v>
      </c>
      <c r="AE4" s="23" t="str">
        <f t="shared" si="21"/>
        <v>▼</v>
      </c>
      <c r="AF4" s="215">
        <f t="shared" si="22"/>
        <v>-3</v>
      </c>
      <c r="AG4" s="169">
        <f t="shared" si="23"/>
        <v>76</v>
      </c>
      <c r="AH4" s="23" t="str">
        <f t="shared" si="24"/>
        <v>▲</v>
      </c>
      <c r="AI4" s="215">
        <f t="shared" si="25"/>
        <v>7</v>
      </c>
      <c r="AJ4" s="169">
        <f t="shared" si="26"/>
        <v>77</v>
      </c>
      <c r="AK4" s="23" t="str">
        <f t="shared" si="27"/>
        <v>▼</v>
      </c>
      <c r="AL4" s="215">
        <f t="shared" si="28"/>
        <v>-11</v>
      </c>
      <c r="AM4" s="169">
        <f t="shared" si="29"/>
        <v>69</v>
      </c>
      <c r="AN4" s="23" t="str">
        <f t="shared" si="30"/>
        <v>▼</v>
      </c>
      <c r="AO4" s="215">
        <f t="shared" si="31"/>
        <v>-5</v>
      </c>
      <c r="AP4" s="169">
        <f t="shared" si="32"/>
        <v>25</v>
      </c>
      <c r="AQ4" s="23" t="str">
        <f t="shared" si="33"/>
        <v>▼</v>
      </c>
      <c r="AR4" s="215">
        <f t="shared" si="34"/>
        <v>-13</v>
      </c>
      <c r="AS4" s="169">
        <f t="shared" si="35"/>
        <v>64</v>
      </c>
      <c r="AT4" s="23" t="str">
        <f t="shared" si="36"/>
        <v>▼</v>
      </c>
      <c r="AU4" s="215">
        <f t="shared" si="37"/>
        <v>-9</v>
      </c>
      <c r="AV4" s="169">
        <f t="shared" si="38"/>
        <v>0</v>
      </c>
      <c r="AW4" s="23" t="str">
        <f t="shared" si="39"/>
        <v/>
      </c>
      <c r="AX4" s="215">
        <f t="shared" si="40"/>
        <v>0</v>
      </c>
      <c r="AY4" s="169">
        <f t="shared" si="41"/>
        <v>100</v>
      </c>
      <c r="AZ4" s="23" t="str">
        <f t="shared" si="42"/>
        <v/>
      </c>
      <c r="BA4" s="215">
        <f t="shared" si="43"/>
        <v>0</v>
      </c>
      <c r="BB4" s="169">
        <f t="shared" si="44"/>
        <v>76</v>
      </c>
      <c r="BC4" s="23" t="str">
        <f t="shared" si="45"/>
        <v>▲</v>
      </c>
      <c r="BD4" s="215">
        <f t="shared" si="46"/>
        <v>6</v>
      </c>
      <c r="BE4" s="169">
        <f t="shared" si="47"/>
        <v>68</v>
      </c>
      <c r="BF4" s="23" t="str">
        <f t="shared" si="48"/>
        <v>▼</v>
      </c>
      <c r="BG4" s="215">
        <f t="shared" si="49"/>
        <v>-11</v>
      </c>
      <c r="BH4" s="169">
        <f t="shared" si="50"/>
        <v>100</v>
      </c>
      <c r="BI4" s="23" t="str">
        <f t="shared" si="51"/>
        <v/>
      </c>
      <c r="BJ4" s="215">
        <f t="shared" si="52"/>
        <v>0</v>
      </c>
      <c r="BY4" s="33"/>
      <c r="BZ4" s="33"/>
      <c r="CA4" s="33"/>
      <c r="CB4" s="33"/>
      <c r="CC4" s="33"/>
      <c r="CD4" s="33"/>
      <c r="CE4" s="33"/>
      <c r="CF4" s="33"/>
      <c r="CV4" s="33"/>
      <c r="CW4" s="33"/>
      <c r="CX4" s="33"/>
      <c r="CY4" s="33"/>
      <c r="CZ4" s="33"/>
      <c r="DA4" s="33"/>
      <c r="DB4" s="33"/>
      <c r="DC4" s="33"/>
      <c r="DD4" s="33"/>
      <c r="DE4" s="33"/>
      <c r="DF4" s="33"/>
      <c r="DG4" s="33"/>
      <c r="DH4" s="33"/>
      <c r="DL4" s="64" t="s">
        <v>61</v>
      </c>
      <c r="DM4" s="30" t="str">
        <f t="shared" si="53"/>
        <v>Tesla</v>
      </c>
      <c r="DN4" s="39">
        <f t="shared" si="54"/>
        <v>100</v>
      </c>
      <c r="DO4" s="40">
        <f t="shared" si="55"/>
        <v>46</v>
      </c>
      <c r="DP4" s="31">
        <f t="shared" si="56"/>
        <v>73</v>
      </c>
      <c r="DQ4" s="468"/>
      <c r="DR4" s="70"/>
      <c r="DS4" s="8" t="s">
        <v>61</v>
      </c>
      <c r="DT4" s="30" t="str">
        <f t="shared" si="57"/>
        <v>Tesla</v>
      </c>
      <c r="DU4" s="39">
        <f t="shared" si="58"/>
        <v>94</v>
      </c>
      <c r="DV4" s="39">
        <f t="shared" si="59"/>
        <v>100</v>
      </c>
      <c r="DW4" s="39">
        <f t="shared" si="60"/>
        <v>100</v>
      </c>
      <c r="DX4" s="39">
        <f t="shared" si="61"/>
        <v>0</v>
      </c>
      <c r="DY4" s="39">
        <f t="shared" si="62"/>
        <v>100</v>
      </c>
      <c r="DZ4" s="51">
        <f t="shared" si="63"/>
        <v>79</v>
      </c>
      <c r="EA4" s="476"/>
      <c r="EC4" s="8" t="s">
        <v>64</v>
      </c>
      <c r="ED4" s="30" t="str">
        <f t="shared" si="64"/>
        <v>BYD</v>
      </c>
      <c r="EE4" s="39">
        <f t="shared" si="65"/>
        <v>76</v>
      </c>
      <c r="EF4" s="39">
        <f t="shared" si="66"/>
        <v>68</v>
      </c>
      <c r="EG4" s="39">
        <f t="shared" si="67"/>
        <v>100</v>
      </c>
      <c r="EH4" s="31">
        <f t="shared" si="68"/>
        <v>81</v>
      </c>
      <c r="EI4" s="476"/>
      <c r="EU4" s="37"/>
      <c r="EX4" s="33"/>
      <c r="EY4" s="33"/>
      <c r="EZ4" s="37"/>
      <c r="FA4" s="33"/>
      <c r="FB4" s="33"/>
      <c r="FC4" s="33"/>
      <c r="FD4" s="33"/>
      <c r="FE4" s="33"/>
      <c r="FF4" s="37"/>
      <c r="FG4" s="33"/>
      <c r="FH4" s="33"/>
      <c r="FI4" s="33"/>
      <c r="FJ4" s="37"/>
    </row>
    <row r="5" spans="1:166" ht="18" customHeight="1">
      <c r="A5" s="167" t="s">
        <v>65</v>
      </c>
      <c r="B5" s="30" t="str">
        <f t="shared" si="0"/>
        <v>BMW</v>
      </c>
      <c r="C5" s="31">
        <f t="shared" si="1"/>
        <v>36</v>
      </c>
      <c r="D5" s="31">
        <f t="shared" si="1"/>
        <v>82</v>
      </c>
      <c r="E5" s="31">
        <f t="shared" si="1"/>
        <v>54</v>
      </c>
      <c r="F5" s="35">
        <f t="shared" si="2"/>
        <v>57.222222222222221</v>
      </c>
      <c r="G5" s="490" t="s">
        <v>66</v>
      </c>
      <c r="I5" s="21" t="s">
        <v>65</v>
      </c>
      <c r="J5" s="176" t="str">
        <f t="shared" si="3"/>
        <v>BMW</v>
      </c>
      <c r="K5" s="35">
        <f t="shared" si="4"/>
        <v>57.222222222222221</v>
      </c>
      <c r="L5" s="490" t="s">
        <v>66</v>
      </c>
      <c r="M5" s="110">
        <f t="shared" si="5"/>
        <v>17</v>
      </c>
      <c r="N5" s="110">
        <f t="shared" si="6"/>
        <v>55</v>
      </c>
      <c r="O5" s="31">
        <f t="shared" si="7"/>
        <v>36</v>
      </c>
      <c r="P5" s="110">
        <f t="shared" si="8"/>
        <v>73</v>
      </c>
      <c r="Q5" s="110">
        <f t="shared" si="9"/>
        <v>54</v>
      </c>
      <c r="R5" s="110">
        <f t="shared" si="10"/>
        <v>90</v>
      </c>
      <c r="S5" s="110">
        <f t="shared" si="11"/>
        <v>100</v>
      </c>
      <c r="T5" s="110">
        <f t="shared" si="12"/>
        <v>93</v>
      </c>
      <c r="U5" s="31">
        <f t="shared" si="13"/>
        <v>82</v>
      </c>
      <c r="V5" s="110">
        <f t="shared" si="14"/>
        <v>84</v>
      </c>
      <c r="W5" s="110">
        <f t="shared" si="15"/>
        <v>17</v>
      </c>
      <c r="X5" s="110">
        <f t="shared" si="16"/>
        <v>60</v>
      </c>
      <c r="Y5" s="31">
        <f t="shared" si="17"/>
        <v>54</v>
      </c>
      <c r="AA5" s="21" t="str">
        <f t="shared" si="18"/>
        <v>BMW</v>
      </c>
      <c r="AB5" s="30" t="str">
        <f t="shared" si="19"/>
        <v>BMW</v>
      </c>
      <c r="AC5" s="479" t="s">
        <v>67</v>
      </c>
      <c r="AD5" s="35">
        <f t="shared" si="20"/>
        <v>57.222222222222221</v>
      </c>
      <c r="AE5" s="23" t="str">
        <f t="shared" si="21"/>
        <v>▲</v>
      </c>
      <c r="AF5" s="215">
        <f t="shared" si="22"/>
        <v>1</v>
      </c>
      <c r="AG5" s="169">
        <f t="shared" si="23"/>
        <v>17</v>
      </c>
      <c r="AH5" s="23" t="str">
        <f t="shared" si="24"/>
        <v>▲</v>
      </c>
      <c r="AI5" s="215">
        <f>N29</f>
        <v>5</v>
      </c>
      <c r="AJ5" s="169">
        <f t="shared" si="26"/>
        <v>55</v>
      </c>
      <c r="AK5" s="23" t="str">
        <f t="shared" si="27"/>
        <v>▲</v>
      </c>
      <c r="AL5" s="215">
        <f t="shared" si="28"/>
        <v>5</v>
      </c>
      <c r="AM5" s="169">
        <f t="shared" si="29"/>
        <v>73</v>
      </c>
      <c r="AN5" s="23" t="str">
        <f t="shared" si="30"/>
        <v>▲</v>
      </c>
      <c r="AO5" s="215">
        <f t="shared" si="31"/>
        <v>1</v>
      </c>
      <c r="AP5" s="169">
        <f t="shared" si="32"/>
        <v>54</v>
      </c>
      <c r="AQ5" s="23" t="str">
        <f t="shared" si="33"/>
        <v>▲</v>
      </c>
      <c r="AR5" s="215">
        <f t="shared" si="34"/>
        <v>2</v>
      </c>
      <c r="AS5" s="169">
        <f t="shared" si="35"/>
        <v>90</v>
      </c>
      <c r="AT5" s="23" t="str">
        <f t="shared" si="36"/>
        <v>▲</v>
      </c>
      <c r="AU5" s="215">
        <f t="shared" si="37"/>
        <v>14</v>
      </c>
      <c r="AV5" s="169">
        <f t="shared" si="38"/>
        <v>100</v>
      </c>
      <c r="AW5" s="23" t="str">
        <f t="shared" si="39"/>
        <v/>
      </c>
      <c r="AX5" s="215">
        <f t="shared" si="40"/>
        <v>0</v>
      </c>
      <c r="AY5" s="169">
        <f t="shared" si="41"/>
        <v>93</v>
      </c>
      <c r="AZ5" s="23" t="str">
        <f t="shared" si="42"/>
        <v>▲</v>
      </c>
      <c r="BA5" s="215">
        <f t="shared" si="43"/>
        <v>1</v>
      </c>
      <c r="BB5" s="169">
        <f t="shared" si="44"/>
        <v>84</v>
      </c>
      <c r="BC5" s="23" t="str">
        <f t="shared" si="45"/>
        <v>▲</v>
      </c>
      <c r="BD5" s="215">
        <f t="shared" si="46"/>
        <v>12</v>
      </c>
      <c r="BE5" s="169">
        <f t="shared" si="47"/>
        <v>17</v>
      </c>
      <c r="BF5" s="23" t="str">
        <f t="shared" si="48"/>
        <v>▼</v>
      </c>
      <c r="BG5" s="215">
        <f t="shared" si="49"/>
        <v>-3</v>
      </c>
      <c r="BH5" s="169">
        <f t="shared" si="50"/>
        <v>60</v>
      </c>
      <c r="BI5" s="23" t="str">
        <f t="shared" si="51"/>
        <v>▼</v>
      </c>
      <c r="BJ5" s="215">
        <f t="shared" si="52"/>
        <v>-20</v>
      </c>
      <c r="BY5" s="33"/>
      <c r="BZ5" s="33"/>
      <c r="CA5" s="33"/>
      <c r="CB5" s="33"/>
      <c r="CC5" s="33"/>
      <c r="CD5" s="33"/>
      <c r="CE5" s="33"/>
      <c r="CF5" s="33"/>
      <c r="CV5" s="33"/>
      <c r="CW5" s="33"/>
      <c r="CX5" s="33"/>
      <c r="CY5" s="33"/>
      <c r="CZ5" s="33"/>
      <c r="DA5" s="33"/>
      <c r="DB5" s="33"/>
      <c r="DC5" s="33"/>
      <c r="DD5" s="33"/>
      <c r="DE5" s="33"/>
      <c r="DF5" s="33"/>
      <c r="DG5" s="33"/>
      <c r="DH5" s="33"/>
      <c r="DL5" s="64" t="s">
        <v>68</v>
      </c>
      <c r="DM5" s="30" t="str">
        <f t="shared" si="53"/>
        <v>SAIC</v>
      </c>
      <c r="DN5" s="39">
        <f t="shared" si="54"/>
        <v>40</v>
      </c>
      <c r="DO5" s="40">
        <f t="shared" si="55"/>
        <v>100</v>
      </c>
      <c r="DP5" s="51">
        <f t="shared" si="56"/>
        <v>70</v>
      </c>
      <c r="DQ5" s="484" t="s">
        <v>66</v>
      </c>
      <c r="DR5" s="70"/>
      <c r="DS5" s="8" t="s">
        <v>69</v>
      </c>
      <c r="DT5" s="30" t="str">
        <f t="shared" si="57"/>
        <v>VW</v>
      </c>
      <c r="DU5" s="39">
        <f t="shared" si="58"/>
        <v>61</v>
      </c>
      <c r="DV5" s="39">
        <f t="shared" si="59"/>
        <v>50</v>
      </c>
      <c r="DW5" s="39">
        <f t="shared" si="60"/>
        <v>87</v>
      </c>
      <c r="DX5" s="39">
        <f t="shared" si="61"/>
        <v>73</v>
      </c>
      <c r="DY5" s="39">
        <f t="shared" si="62"/>
        <v>97</v>
      </c>
      <c r="DZ5" s="51">
        <f t="shared" si="63"/>
        <v>74</v>
      </c>
      <c r="EA5" s="485" t="s">
        <v>66</v>
      </c>
      <c r="EC5" s="8" t="s">
        <v>70</v>
      </c>
      <c r="ED5" s="30" t="str">
        <f t="shared" si="64"/>
        <v>GM</v>
      </c>
      <c r="EE5" s="39">
        <f t="shared" si="65"/>
        <v>87</v>
      </c>
      <c r="EF5" s="39">
        <f t="shared" si="66"/>
        <v>10</v>
      </c>
      <c r="EG5" s="39">
        <f t="shared" si="67"/>
        <v>55</v>
      </c>
      <c r="EH5" s="31">
        <f t="shared" si="68"/>
        <v>51</v>
      </c>
      <c r="EI5" s="472" t="s">
        <v>66</v>
      </c>
      <c r="EU5" s="37"/>
      <c r="EX5" s="33"/>
      <c r="EY5" s="33"/>
      <c r="EZ5" s="37"/>
      <c r="FA5" s="33"/>
      <c r="FB5" s="33"/>
      <c r="FC5" s="33"/>
      <c r="FD5" s="33"/>
      <c r="FE5" s="33"/>
      <c r="FF5" s="37"/>
      <c r="FG5" s="33"/>
      <c r="FH5" s="33"/>
      <c r="FI5" s="33"/>
      <c r="FJ5" s="37"/>
    </row>
    <row r="6" spans="1:166" ht="18" customHeight="1">
      <c r="A6" s="167" t="s">
        <v>71</v>
      </c>
      <c r="B6" s="30" t="str">
        <f t="shared" si="0"/>
        <v>Mercedes-Benz</v>
      </c>
      <c r="C6" s="31">
        <f t="shared" si="1"/>
        <v>33</v>
      </c>
      <c r="D6" s="31">
        <f t="shared" si="1"/>
        <v>74</v>
      </c>
      <c r="E6" s="31">
        <f t="shared" si="1"/>
        <v>49</v>
      </c>
      <c r="F6" s="35">
        <f t="shared" si="2"/>
        <v>51.699999999999996</v>
      </c>
      <c r="G6" s="491"/>
      <c r="I6" s="21" t="s">
        <v>71</v>
      </c>
      <c r="J6" s="176" t="str">
        <f t="shared" si="3"/>
        <v>Mercedes-Benz</v>
      </c>
      <c r="K6" s="35">
        <f t="shared" si="4"/>
        <v>51.699999999999996</v>
      </c>
      <c r="L6" s="491"/>
      <c r="M6" s="110">
        <f t="shared" si="5"/>
        <v>15</v>
      </c>
      <c r="N6" s="110">
        <f t="shared" si="6"/>
        <v>50</v>
      </c>
      <c r="O6" s="31">
        <f t="shared" si="7"/>
        <v>33</v>
      </c>
      <c r="P6" s="110">
        <f t="shared" si="8"/>
        <v>50</v>
      </c>
      <c r="Q6" s="110">
        <f t="shared" si="9"/>
        <v>43</v>
      </c>
      <c r="R6" s="110">
        <f t="shared" si="10"/>
        <v>82</v>
      </c>
      <c r="S6" s="110">
        <f t="shared" si="11"/>
        <v>100</v>
      </c>
      <c r="T6" s="110">
        <f t="shared" si="12"/>
        <v>93</v>
      </c>
      <c r="U6" s="31">
        <f t="shared" si="13"/>
        <v>74</v>
      </c>
      <c r="V6" s="110">
        <f t="shared" si="14"/>
        <v>90</v>
      </c>
      <c r="W6" s="110">
        <f t="shared" si="15"/>
        <v>42</v>
      </c>
      <c r="X6" s="110">
        <f t="shared" si="16"/>
        <v>15</v>
      </c>
      <c r="Y6" s="31">
        <f t="shared" si="17"/>
        <v>49</v>
      </c>
      <c r="AA6" s="21" t="str">
        <f t="shared" si="18"/>
        <v>Mercedes-Benz</v>
      </c>
      <c r="AB6" s="30" t="str">
        <f t="shared" si="19"/>
        <v>Mercedes-Benz</v>
      </c>
      <c r="AC6" s="479"/>
      <c r="AD6" s="35">
        <f t="shared" si="20"/>
        <v>51.699999999999996</v>
      </c>
      <c r="AE6" s="23" t="str">
        <f t="shared" si="21"/>
        <v>▲</v>
      </c>
      <c r="AF6" s="215">
        <f t="shared" si="22"/>
        <v>7</v>
      </c>
      <c r="AG6" s="169">
        <f t="shared" si="23"/>
        <v>15</v>
      </c>
      <c r="AH6" s="23" t="str">
        <f t="shared" si="24"/>
        <v>▲</v>
      </c>
      <c r="AI6" s="215">
        <f t="shared" si="25"/>
        <v>5</v>
      </c>
      <c r="AJ6" s="169">
        <f t="shared" si="26"/>
        <v>50</v>
      </c>
      <c r="AK6" s="23" t="str">
        <f t="shared" si="27"/>
        <v>▼</v>
      </c>
      <c r="AL6" s="215">
        <f t="shared" si="28"/>
        <v>-13</v>
      </c>
      <c r="AM6" s="169">
        <f t="shared" si="29"/>
        <v>50</v>
      </c>
      <c r="AN6" s="23" t="str">
        <f t="shared" si="30"/>
        <v>▼</v>
      </c>
      <c r="AO6" s="215">
        <f t="shared" si="31"/>
        <v>-5</v>
      </c>
      <c r="AP6" s="169">
        <f t="shared" si="32"/>
        <v>43</v>
      </c>
      <c r="AQ6" s="23" t="str">
        <f t="shared" si="33"/>
        <v>▲</v>
      </c>
      <c r="AR6" s="215">
        <f t="shared" si="34"/>
        <v>2</v>
      </c>
      <c r="AS6" s="169">
        <f t="shared" si="35"/>
        <v>82</v>
      </c>
      <c r="AT6" s="23" t="str">
        <f t="shared" si="36"/>
        <v>▲</v>
      </c>
      <c r="AU6" s="215">
        <f t="shared" si="37"/>
        <v>9</v>
      </c>
      <c r="AV6" s="169">
        <f t="shared" si="38"/>
        <v>100</v>
      </c>
      <c r="AW6" s="23" t="str">
        <f t="shared" si="39"/>
        <v>▲</v>
      </c>
      <c r="AX6" s="215">
        <f t="shared" si="40"/>
        <v>50</v>
      </c>
      <c r="AY6" s="169">
        <f t="shared" si="41"/>
        <v>93</v>
      </c>
      <c r="AZ6" s="23" t="str">
        <f t="shared" si="42"/>
        <v>▲</v>
      </c>
      <c r="BA6" s="215">
        <f t="shared" si="43"/>
        <v>50</v>
      </c>
      <c r="BB6" s="169">
        <f t="shared" si="44"/>
        <v>90</v>
      </c>
      <c r="BC6" s="23" t="str">
        <f t="shared" si="45"/>
        <v>▼</v>
      </c>
      <c r="BD6" s="215">
        <f t="shared" si="46"/>
        <v>-6</v>
      </c>
      <c r="BE6" s="169">
        <f t="shared" si="47"/>
        <v>42</v>
      </c>
      <c r="BF6" s="23" t="str">
        <f t="shared" si="48"/>
        <v>▲</v>
      </c>
      <c r="BG6" s="215">
        <f t="shared" si="49"/>
        <v>8</v>
      </c>
      <c r="BH6" s="169">
        <f t="shared" si="50"/>
        <v>15</v>
      </c>
      <c r="BI6" s="23" t="str">
        <f t="shared" si="51"/>
        <v>▲</v>
      </c>
      <c r="BJ6" s="215">
        <f t="shared" si="52"/>
        <v>3</v>
      </c>
      <c r="BY6" s="33"/>
      <c r="BZ6" s="33"/>
      <c r="CA6" s="33"/>
      <c r="CB6" s="33"/>
      <c r="CC6" s="33"/>
      <c r="CD6" s="33"/>
      <c r="CE6" s="33"/>
      <c r="CF6" s="33"/>
      <c r="CV6" s="33"/>
      <c r="CW6" s="33"/>
      <c r="CX6" s="33"/>
      <c r="CY6" s="33"/>
      <c r="CZ6" s="33"/>
      <c r="DA6" s="33"/>
      <c r="DB6" s="33"/>
      <c r="DC6" s="33"/>
      <c r="DD6" s="33"/>
      <c r="DE6" s="33"/>
      <c r="DF6" s="33"/>
      <c r="DG6" s="33"/>
      <c r="DH6" s="33"/>
      <c r="DL6" s="64" t="s">
        <v>72</v>
      </c>
      <c r="DM6" s="30" t="str">
        <f t="shared" si="53"/>
        <v>Geely</v>
      </c>
      <c r="DN6" s="39">
        <f t="shared" si="54"/>
        <v>29</v>
      </c>
      <c r="DO6" s="40">
        <f t="shared" si="55"/>
        <v>78</v>
      </c>
      <c r="DP6" s="51">
        <f t="shared" si="56"/>
        <v>54</v>
      </c>
      <c r="DQ6" s="485"/>
      <c r="DR6" s="70"/>
      <c r="DS6" s="8" t="s">
        <v>71</v>
      </c>
      <c r="DT6" s="30" t="str">
        <f t="shared" si="57"/>
        <v>Mercedes-Benz</v>
      </c>
      <c r="DU6" s="39">
        <f t="shared" si="58"/>
        <v>50</v>
      </c>
      <c r="DV6" s="39">
        <f t="shared" si="59"/>
        <v>43</v>
      </c>
      <c r="DW6" s="39">
        <f t="shared" si="60"/>
        <v>82</v>
      </c>
      <c r="DX6" s="39">
        <f t="shared" si="61"/>
        <v>100</v>
      </c>
      <c r="DY6" s="39">
        <f t="shared" si="62"/>
        <v>93</v>
      </c>
      <c r="DZ6" s="51">
        <f t="shared" si="63"/>
        <v>74</v>
      </c>
      <c r="EA6" s="485"/>
      <c r="EC6" s="8" t="s">
        <v>65</v>
      </c>
      <c r="ED6" s="30" t="str">
        <f t="shared" si="64"/>
        <v>BMW</v>
      </c>
      <c r="EE6" s="39">
        <f t="shared" si="65"/>
        <v>84</v>
      </c>
      <c r="EF6" s="39">
        <f t="shared" si="66"/>
        <v>17</v>
      </c>
      <c r="EG6" s="39">
        <f t="shared" si="67"/>
        <v>60</v>
      </c>
      <c r="EH6" s="31">
        <f t="shared" si="68"/>
        <v>54</v>
      </c>
      <c r="EI6" s="473"/>
      <c r="EU6" s="37"/>
      <c r="EX6" s="33"/>
      <c r="EY6" s="33"/>
      <c r="EZ6" s="37"/>
      <c r="FA6" s="33"/>
      <c r="FB6" s="33"/>
      <c r="FC6" s="33"/>
      <c r="FD6" s="33"/>
      <c r="FE6" s="33"/>
      <c r="FF6" s="37"/>
      <c r="FG6" s="33"/>
      <c r="FH6" s="33"/>
      <c r="FI6" s="33"/>
      <c r="FJ6" s="37"/>
    </row>
    <row r="7" spans="1:166" ht="18" customHeight="1">
      <c r="A7" s="167" t="s">
        <v>73</v>
      </c>
      <c r="B7" s="30" t="str">
        <f t="shared" si="0"/>
        <v>SAIC</v>
      </c>
      <c r="C7" s="31">
        <f t="shared" si="1"/>
        <v>70</v>
      </c>
      <c r="D7" s="31">
        <f t="shared" si="1"/>
        <v>36</v>
      </c>
      <c r="E7" s="31">
        <f t="shared" si="1"/>
        <v>46</v>
      </c>
      <c r="F7" s="35">
        <f t="shared" si="2"/>
        <v>50.533333333333331</v>
      </c>
      <c r="G7" s="491"/>
      <c r="I7" s="21" t="s">
        <v>68</v>
      </c>
      <c r="J7" s="176" t="str">
        <f t="shared" si="3"/>
        <v>SAIC</v>
      </c>
      <c r="K7" s="35">
        <f t="shared" si="4"/>
        <v>50.533333333333331</v>
      </c>
      <c r="L7" s="491"/>
      <c r="M7" s="110">
        <f t="shared" si="5"/>
        <v>40</v>
      </c>
      <c r="N7" s="110">
        <f t="shared" si="6"/>
        <v>100</v>
      </c>
      <c r="O7" s="31">
        <f t="shared" si="7"/>
        <v>70</v>
      </c>
      <c r="P7" s="110">
        <f t="shared" si="8"/>
        <v>56</v>
      </c>
      <c r="Q7" s="110">
        <f t="shared" si="9"/>
        <v>13</v>
      </c>
      <c r="R7" s="110">
        <f t="shared" si="10"/>
        <v>26</v>
      </c>
      <c r="S7" s="110">
        <f t="shared" si="11"/>
        <v>0</v>
      </c>
      <c r="T7" s="110">
        <f t="shared" si="12"/>
        <v>83</v>
      </c>
      <c r="U7" s="31">
        <f t="shared" si="13"/>
        <v>36</v>
      </c>
      <c r="V7" s="110">
        <f t="shared" si="14"/>
        <v>73</v>
      </c>
      <c r="W7" s="110">
        <f t="shared" si="15"/>
        <v>65</v>
      </c>
      <c r="X7" s="110">
        <f t="shared" si="16"/>
        <v>0</v>
      </c>
      <c r="Y7" s="31">
        <f t="shared" si="17"/>
        <v>46</v>
      </c>
      <c r="AA7" s="21" t="str">
        <f t="shared" si="18"/>
        <v>SAIC</v>
      </c>
      <c r="AB7" s="30" t="str">
        <f t="shared" si="19"/>
        <v>SAIC</v>
      </c>
      <c r="AC7" s="479"/>
      <c r="AD7" s="35">
        <f t="shared" si="20"/>
        <v>50.533333333333331</v>
      </c>
      <c r="AE7" s="23" t="str">
        <f t="shared" si="21"/>
        <v>▲</v>
      </c>
      <c r="AF7" s="215">
        <f t="shared" si="22"/>
        <v>7</v>
      </c>
      <c r="AG7" s="169">
        <f t="shared" si="23"/>
        <v>40</v>
      </c>
      <c r="AH7" s="23" t="str">
        <f t="shared" si="24"/>
        <v>▲</v>
      </c>
      <c r="AI7" s="215">
        <f t="shared" si="25"/>
        <v>9</v>
      </c>
      <c r="AJ7" s="169">
        <f t="shared" si="26"/>
        <v>100</v>
      </c>
      <c r="AK7" s="23" t="str">
        <f t="shared" si="27"/>
        <v/>
      </c>
      <c r="AL7" s="215">
        <f t="shared" si="28"/>
        <v>0</v>
      </c>
      <c r="AM7" s="169">
        <f t="shared" si="29"/>
        <v>56</v>
      </c>
      <c r="AN7" s="23" t="str">
        <f t="shared" si="30"/>
        <v>▲</v>
      </c>
      <c r="AO7" s="215">
        <f t="shared" si="31"/>
        <v>7</v>
      </c>
      <c r="AP7" s="169">
        <f t="shared" si="32"/>
        <v>13</v>
      </c>
      <c r="AQ7" s="23" t="str">
        <f t="shared" si="33"/>
        <v>▲</v>
      </c>
      <c r="AR7" s="215">
        <f t="shared" si="34"/>
        <v>13</v>
      </c>
      <c r="AS7" s="169">
        <f t="shared" si="35"/>
        <v>26</v>
      </c>
      <c r="AT7" s="23" t="str">
        <f t="shared" si="36"/>
        <v>▲</v>
      </c>
      <c r="AU7" s="215">
        <f t="shared" si="37"/>
        <v>26</v>
      </c>
      <c r="AV7" s="169">
        <f t="shared" si="38"/>
        <v>0</v>
      </c>
      <c r="AW7" s="23" t="str">
        <f t="shared" si="39"/>
        <v/>
      </c>
      <c r="AX7" s="215">
        <f t="shared" si="40"/>
        <v>0</v>
      </c>
      <c r="AY7" s="169">
        <f t="shared" si="41"/>
        <v>83</v>
      </c>
      <c r="AZ7" s="23" t="str">
        <f t="shared" si="42"/>
        <v>▼</v>
      </c>
      <c r="BA7" s="215">
        <f t="shared" si="43"/>
        <v>-7</v>
      </c>
      <c r="BB7" s="169">
        <f t="shared" si="44"/>
        <v>73</v>
      </c>
      <c r="BC7" s="23" t="str">
        <f t="shared" si="45"/>
        <v>▲</v>
      </c>
      <c r="BD7" s="215">
        <f t="shared" si="46"/>
        <v>36</v>
      </c>
      <c r="BE7" s="169">
        <f t="shared" si="47"/>
        <v>65</v>
      </c>
      <c r="BF7" s="23" t="str">
        <f t="shared" si="48"/>
        <v>▼</v>
      </c>
      <c r="BG7" s="215">
        <f t="shared" si="49"/>
        <v>-16</v>
      </c>
      <c r="BH7" s="169">
        <f t="shared" si="50"/>
        <v>0</v>
      </c>
      <c r="BI7" s="23" t="str">
        <f t="shared" si="51"/>
        <v/>
      </c>
      <c r="BJ7" s="215">
        <f t="shared" si="52"/>
        <v>0</v>
      </c>
      <c r="BY7" s="33"/>
      <c r="BZ7" s="33"/>
      <c r="CA7" s="33"/>
      <c r="CB7" s="33"/>
      <c r="CC7" s="33"/>
      <c r="CD7" s="33"/>
      <c r="CE7" s="33"/>
      <c r="CF7" s="33"/>
      <c r="CV7" s="33"/>
      <c r="CW7" s="33"/>
      <c r="CX7" s="33"/>
      <c r="CY7" s="33"/>
      <c r="CZ7" s="33"/>
      <c r="DA7" s="33"/>
      <c r="DB7" s="33"/>
      <c r="DC7" s="33"/>
      <c r="DD7" s="33"/>
      <c r="DE7" s="33"/>
      <c r="DF7" s="33"/>
      <c r="DG7" s="33"/>
      <c r="DH7" s="33"/>
      <c r="DI7" s="33"/>
      <c r="DL7" s="64" t="s">
        <v>74</v>
      </c>
      <c r="DM7" s="30" t="str">
        <f t="shared" si="53"/>
        <v>Stellantis</v>
      </c>
      <c r="DN7" s="39">
        <f t="shared" si="54"/>
        <v>9</v>
      </c>
      <c r="DO7" s="40">
        <f t="shared" si="55"/>
        <v>68</v>
      </c>
      <c r="DP7" s="51">
        <f t="shared" si="56"/>
        <v>39</v>
      </c>
      <c r="DQ7" s="485"/>
      <c r="DR7" s="70"/>
      <c r="DS7" s="8" t="s">
        <v>64</v>
      </c>
      <c r="DT7" s="30" t="str">
        <f t="shared" si="57"/>
        <v>BYD</v>
      </c>
      <c r="DU7" s="39">
        <f t="shared" si="58"/>
        <v>69</v>
      </c>
      <c r="DV7" s="39">
        <f t="shared" si="59"/>
        <v>25</v>
      </c>
      <c r="DW7" s="39">
        <f t="shared" si="60"/>
        <v>64</v>
      </c>
      <c r="DX7" s="39">
        <f t="shared" si="61"/>
        <v>0</v>
      </c>
      <c r="DY7" s="39">
        <f t="shared" si="62"/>
        <v>100</v>
      </c>
      <c r="DZ7" s="51">
        <f t="shared" si="63"/>
        <v>52</v>
      </c>
      <c r="EA7" s="485"/>
      <c r="EC7" s="8" t="s">
        <v>71</v>
      </c>
      <c r="ED7" s="30" t="str">
        <f t="shared" si="64"/>
        <v>Mercedes-Benz</v>
      </c>
      <c r="EE7" s="39">
        <f t="shared" si="65"/>
        <v>90</v>
      </c>
      <c r="EF7" s="39">
        <f t="shared" si="66"/>
        <v>42</v>
      </c>
      <c r="EG7" s="39">
        <f t="shared" si="67"/>
        <v>15</v>
      </c>
      <c r="EH7" s="31">
        <f t="shared" si="68"/>
        <v>49</v>
      </c>
      <c r="EI7" s="473"/>
      <c r="EU7" s="37"/>
      <c r="EX7" s="33"/>
      <c r="EY7" s="33"/>
      <c r="EZ7" s="37"/>
      <c r="FA7" s="33"/>
      <c r="FB7" s="33"/>
      <c r="FC7" s="33"/>
      <c r="FD7" s="33"/>
      <c r="FE7" s="33"/>
      <c r="FF7" s="37"/>
      <c r="FG7" s="33"/>
      <c r="FH7" s="33"/>
      <c r="FI7" s="33"/>
      <c r="FJ7" s="37"/>
    </row>
    <row r="8" spans="1:166" ht="18" customHeight="1">
      <c r="A8" s="167" t="s">
        <v>75</v>
      </c>
      <c r="B8" s="30" t="str">
        <f t="shared" si="0"/>
        <v>Stellantis</v>
      </c>
      <c r="C8" s="31">
        <f t="shared" si="1"/>
        <v>39</v>
      </c>
      <c r="D8" s="31">
        <f t="shared" si="1"/>
        <v>39</v>
      </c>
      <c r="E8" s="31">
        <f t="shared" si="1"/>
        <v>69</v>
      </c>
      <c r="F8" s="35">
        <f t="shared" si="2"/>
        <v>48.9</v>
      </c>
      <c r="G8" s="491"/>
      <c r="I8" s="21" t="s">
        <v>74</v>
      </c>
      <c r="J8" s="176" t="str">
        <f t="shared" si="3"/>
        <v>Stellantis</v>
      </c>
      <c r="K8" s="35">
        <f t="shared" si="4"/>
        <v>48.9</v>
      </c>
      <c r="L8" s="491"/>
      <c r="M8" s="110">
        <f t="shared" si="5"/>
        <v>9</v>
      </c>
      <c r="N8" s="110">
        <f t="shared" si="6"/>
        <v>68</v>
      </c>
      <c r="O8" s="31">
        <f t="shared" si="7"/>
        <v>39</v>
      </c>
      <c r="P8" s="110">
        <f t="shared" si="8"/>
        <v>31</v>
      </c>
      <c r="Q8" s="110">
        <f t="shared" si="9"/>
        <v>31</v>
      </c>
      <c r="R8" s="110">
        <f t="shared" si="10"/>
        <v>35</v>
      </c>
      <c r="S8" s="110">
        <f t="shared" si="11"/>
        <v>0</v>
      </c>
      <c r="T8" s="110">
        <f t="shared" si="12"/>
        <v>99</v>
      </c>
      <c r="U8" s="31">
        <f t="shared" si="13"/>
        <v>39</v>
      </c>
      <c r="V8" s="110">
        <f t="shared" si="14"/>
        <v>100</v>
      </c>
      <c r="W8" s="110">
        <f t="shared" si="15"/>
        <v>7</v>
      </c>
      <c r="X8" s="110">
        <f t="shared" si="16"/>
        <v>100</v>
      </c>
      <c r="Y8" s="31">
        <f t="shared" si="17"/>
        <v>69</v>
      </c>
      <c r="AA8" s="21" t="str">
        <f t="shared" si="18"/>
        <v>Stellantis</v>
      </c>
      <c r="AB8" s="30" t="str">
        <f t="shared" si="19"/>
        <v>Stellantis</v>
      </c>
      <c r="AC8" s="479"/>
      <c r="AD8" s="35">
        <f t="shared" si="20"/>
        <v>48.9</v>
      </c>
      <c r="AE8" s="23" t="str">
        <f t="shared" si="21"/>
        <v>▼</v>
      </c>
      <c r="AF8" s="215">
        <f t="shared" si="22"/>
        <v>-1</v>
      </c>
      <c r="AG8" s="169">
        <f t="shared" si="23"/>
        <v>9</v>
      </c>
      <c r="AH8" s="23" t="str">
        <f t="shared" si="24"/>
        <v>▲</v>
      </c>
      <c r="AI8" s="215">
        <f t="shared" si="25"/>
        <v>1</v>
      </c>
      <c r="AJ8" s="169">
        <f t="shared" si="26"/>
        <v>68</v>
      </c>
      <c r="AK8" s="23" t="str">
        <f t="shared" si="27"/>
        <v>▼</v>
      </c>
      <c r="AL8" s="215">
        <f t="shared" si="28"/>
        <v>-20</v>
      </c>
      <c r="AM8" s="169">
        <f t="shared" si="29"/>
        <v>31</v>
      </c>
      <c r="AN8" s="23" t="str">
        <f t="shared" si="30"/>
        <v>▲</v>
      </c>
      <c r="AO8" s="215">
        <f t="shared" si="31"/>
        <v>3</v>
      </c>
      <c r="AP8" s="169">
        <f t="shared" si="32"/>
        <v>31</v>
      </c>
      <c r="AQ8" s="23" t="str">
        <f t="shared" si="33"/>
        <v>▼</v>
      </c>
      <c r="AR8" s="215">
        <f t="shared" si="34"/>
        <v>-5</v>
      </c>
      <c r="AS8" s="169">
        <f t="shared" si="35"/>
        <v>35</v>
      </c>
      <c r="AT8" s="23" t="str">
        <f t="shared" si="36"/>
        <v>▲</v>
      </c>
      <c r="AU8" s="215">
        <f t="shared" si="37"/>
        <v>7</v>
      </c>
      <c r="AV8" s="169">
        <f t="shared" si="38"/>
        <v>0</v>
      </c>
      <c r="AW8" s="23" t="str">
        <f t="shared" si="39"/>
        <v/>
      </c>
      <c r="AX8" s="215">
        <f t="shared" si="40"/>
        <v>0</v>
      </c>
      <c r="AY8" s="169">
        <f t="shared" si="41"/>
        <v>99</v>
      </c>
      <c r="AZ8" s="23" t="str">
        <f t="shared" si="42"/>
        <v>▲</v>
      </c>
      <c r="BA8" s="215">
        <f t="shared" si="43"/>
        <v>1</v>
      </c>
      <c r="BB8" s="169">
        <f t="shared" si="44"/>
        <v>100</v>
      </c>
      <c r="BC8" s="23" t="str">
        <f t="shared" si="45"/>
        <v>▲</v>
      </c>
      <c r="BD8" s="215">
        <f t="shared" si="46"/>
        <v>19</v>
      </c>
      <c r="BE8" s="169">
        <f t="shared" si="47"/>
        <v>7</v>
      </c>
      <c r="BF8" s="23" t="str">
        <f t="shared" si="48"/>
        <v>▼</v>
      </c>
      <c r="BG8" s="215">
        <f t="shared" si="49"/>
        <v>-2</v>
      </c>
      <c r="BH8" s="169">
        <f t="shared" si="50"/>
        <v>100</v>
      </c>
      <c r="BI8" s="23" t="str">
        <f t="shared" si="51"/>
        <v/>
      </c>
      <c r="BJ8" s="215">
        <f t="shared" si="52"/>
        <v>0</v>
      </c>
      <c r="BY8" s="33"/>
      <c r="BZ8" s="33"/>
      <c r="CA8" s="33"/>
      <c r="CB8" s="33"/>
      <c r="CC8" s="33"/>
      <c r="CD8" s="33"/>
      <c r="CE8" s="33"/>
      <c r="CF8" s="33"/>
      <c r="CV8" s="33"/>
      <c r="CW8" s="33"/>
      <c r="CX8" s="33"/>
      <c r="CY8" s="33"/>
      <c r="CZ8" s="33"/>
      <c r="DA8" s="33"/>
      <c r="DB8" s="33"/>
      <c r="DC8" s="33"/>
      <c r="DD8" s="33"/>
      <c r="DE8" s="33"/>
      <c r="DF8" s="33"/>
      <c r="DG8" s="33"/>
      <c r="DH8" s="33"/>
      <c r="DL8" s="64" t="s">
        <v>76</v>
      </c>
      <c r="DM8" s="30" t="str">
        <f t="shared" si="53"/>
        <v>Chang'an</v>
      </c>
      <c r="DN8" s="39">
        <f t="shared" si="54"/>
        <v>21</v>
      </c>
      <c r="DO8" s="40">
        <f t="shared" si="55"/>
        <v>93</v>
      </c>
      <c r="DP8" s="51">
        <f t="shared" si="56"/>
        <v>57</v>
      </c>
      <c r="DQ8" s="485"/>
      <c r="DR8" s="70"/>
      <c r="DS8" s="8" t="s">
        <v>77</v>
      </c>
      <c r="DT8" s="30" t="str">
        <f t="shared" si="57"/>
        <v>Toyota</v>
      </c>
      <c r="DU8" s="39">
        <f t="shared" si="58"/>
        <v>71</v>
      </c>
      <c r="DV8" s="39">
        <f t="shared" si="59"/>
        <v>32</v>
      </c>
      <c r="DW8" s="39">
        <f t="shared" si="60"/>
        <v>82</v>
      </c>
      <c r="DX8" s="39">
        <f t="shared" si="61"/>
        <v>6</v>
      </c>
      <c r="DY8" s="39">
        <f t="shared" si="62"/>
        <v>59</v>
      </c>
      <c r="DZ8" s="51">
        <f t="shared" si="63"/>
        <v>50</v>
      </c>
      <c r="EA8" s="485"/>
      <c r="EC8" s="8" t="s">
        <v>74</v>
      </c>
      <c r="ED8" s="30" t="str">
        <f t="shared" si="64"/>
        <v>Stellantis</v>
      </c>
      <c r="EE8" s="39">
        <f t="shared" si="65"/>
        <v>100</v>
      </c>
      <c r="EF8" s="39">
        <f t="shared" si="66"/>
        <v>7</v>
      </c>
      <c r="EG8" s="39">
        <f t="shared" si="67"/>
        <v>100</v>
      </c>
      <c r="EH8" s="31">
        <f t="shared" si="68"/>
        <v>69</v>
      </c>
      <c r="EI8" s="473"/>
      <c r="EU8" s="37"/>
      <c r="EX8" s="33"/>
      <c r="EY8" s="33"/>
      <c r="EZ8" s="37"/>
      <c r="FA8" s="33"/>
      <c r="FB8" s="33"/>
      <c r="FC8" s="33"/>
      <c r="FD8" s="33"/>
      <c r="FE8" s="33"/>
      <c r="FF8" s="37"/>
      <c r="FG8" s="33"/>
      <c r="FH8" s="33"/>
      <c r="FI8" s="33"/>
      <c r="FJ8" s="37"/>
    </row>
    <row r="9" spans="1:166" ht="18" customHeight="1">
      <c r="A9" s="167" t="s">
        <v>78</v>
      </c>
      <c r="B9" s="30" t="str">
        <f t="shared" si="0"/>
        <v>VW</v>
      </c>
      <c r="C9" s="31">
        <f t="shared" si="1"/>
        <v>35</v>
      </c>
      <c r="D9" s="31">
        <f t="shared" si="1"/>
        <v>74</v>
      </c>
      <c r="E9" s="31">
        <f t="shared" si="1"/>
        <v>36</v>
      </c>
      <c r="F9" s="35">
        <f t="shared" si="2"/>
        <v>48.31111111111111</v>
      </c>
      <c r="G9" s="491"/>
      <c r="I9" s="21" t="s">
        <v>69</v>
      </c>
      <c r="J9" s="176" t="str">
        <f t="shared" si="3"/>
        <v>VW</v>
      </c>
      <c r="K9" s="35">
        <f t="shared" si="4"/>
        <v>48.31111111111111</v>
      </c>
      <c r="L9" s="491"/>
      <c r="M9" s="110">
        <f t="shared" si="5"/>
        <v>11</v>
      </c>
      <c r="N9" s="110">
        <f t="shared" si="6"/>
        <v>59</v>
      </c>
      <c r="O9" s="31">
        <f t="shared" si="7"/>
        <v>35</v>
      </c>
      <c r="P9" s="110">
        <f t="shared" si="8"/>
        <v>61</v>
      </c>
      <c r="Q9" s="110">
        <f t="shared" si="9"/>
        <v>50</v>
      </c>
      <c r="R9" s="110">
        <f t="shared" si="10"/>
        <v>87</v>
      </c>
      <c r="S9" s="110">
        <f t="shared" si="11"/>
        <v>73</v>
      </c>
      <c r="T9" s="110">
        <f t="shared" si="12"/>
        <v>97</v>
      </c>
      <c r="U9" s="31">
        <f t="shared" si="13"/>
        <v>74</v>
      </c>
      <c r="V9" s="110">
        <f t="shared" si="14"/>
        <v>79</v>
      </c>
      <c r="W9" s="110">
        <f t="shared" si="15"/>
        <v>22</v>
      </c>
      <c r="X9" s="110">
        <f t="shared" si="16"/>
        <v>8</v>
      </c>
      <c r="Y9" s="31">
        <f t="shared" si="17"/>
        <v>36</v>
      </c>
      <c r="AA9" s="21" t="str">
        <f t="shared" si="18"/>
        <v>VW</v>
      </c>
      <c r="AB9" s="30" t="str">
        <f t="shared" si="19"/>
        <v>VW</v>
      </c>
      <c r="AC9" s="479"/>
      <c r="AD9" s="35">
        <f t="shared" si="20"/>
        <v>48.31111111111111</v>
      </c>
      <c r="AE9" s="23" t="str">
        <f t="shared" si="21"/>
        <v>▼</v>
      </c>
      <c r="AF9" s="215">
        <f t="shared" si="22"/>
        <v>-2</v>
      </c>
      <c r="AG9" s="169">
        <f t="shared" si="23"/>
        <v>11</v>
      </c>
      <c r="AH9" s="23" t="str">
        <f t="shared" si="24"/>
        <v>▲</v>
      </c>
      <c r="AI9" s="215">
        <f t="shared" si="25"/>
        <v>1</v>
      </c>
      <c r="AJ9" s="169">
        <f t="shared" si="26"/>
        <v>59</v>
      </c>
      <c r="AK9" s="23" t="str">
        <f t="shared" si="27"/>
        <v>▼</v>
      </c>
      <c r="AL9" s="215">
        <f t="shared" si="28"/>
        <v>-29</v>
      </c>
      <c r="AM9" s="169">
        <f t="shared" si="29"/>
        <v>61</v>
      </c>
      <c r="AN9" s="23" t="str">
        <f t="shared" si="30"/>
        <v>▲</v>
      </c>
      <c r="AO9" s="215">
        <f t="shared" si="31"/>
        <v>1</v>
      </c>
      <c r="AP9" s="169">
        <f t="shared" si="32"/>
        <v>50</v>
      </c>
      <c r="AQ9" s="23" t="str">
        <f t="shared" si="33"/>
        <v>▼</v>
      </c>
      <c r="AR9" s="215">
        <f t="shared" si="34"/>
        <v>-1</v>
      </c>
      <c r="AS9" s="169">
        <f t="shared" si="35"/>
        <v>87</v>
      </c>
      <c r="AT9" s="23" t="str">
        <f t="shared" si="36"/>
        <v>▲</v>
      </c>
      <c r="AU9" s="215">
        <f t="shared" si="37"/>
        <v>5</v>
      </c>
      <c r="AV9" s="169">
        <f t="shared" si="38"/>
        <v>73</v>
      </c>
      <c r="AW9" s="23" t="str">
        <f t="shared" si="39"/>
        <v>▼</v>
      </c>
      <c r="AX9" s="215">
        <f t="shared" si="40"/>
        <v>-2</v>
      </c>
      <c r="AY9" s="169">
        <f t="shared" si="41"/>
        <v>97</v>
      </c>
      <c r="AZ9" s="23" t="str">
        <f t="shared" si="42"/>
        <v>▲</v>
      </c>
      <c r="BA9" s="215">
        <f t="shared" si="43"/>
        <v>48</v>
      </c>
      <c r="BB9" s="169">
        <f t="shared" si="44"/>
        <v>79</v>
      </c>
      <c r="BC9" s="23" t="str">
        <f t="shared" si="45"/>
        <v>▲</v>
      </c>
      <c r="BD9" s="215">
        <f t="shared" si="46"/>
        <v>18</v>
      </c>
      <c r="BE9" s="169">
        <f t="shared" si="47"/>
        <v>22</v>
      </c>
      <c r="BF9" s="23" t="str">
        <f t="shared" si="48"/>
        <v>▼</v>
      </c>
      <c r="BG9" s="215">
        <f t="shared" si="49"/>
        <v>-1</v>
      </c>
      <c r="BH9" s="169">
        <f t="shared" si="50"/>
        <v>8</v>
      </c>
      <c r="BI9" s="23" t="str">
        <f t="shared" si="51"/>
        <v>▼</v>
      </c>
      <c r="BJ9" s="215">
        <f t="shared" si="52"/>
        <v>-18</v>
      </c>
      <c r="BY9" s="33"/>
      <c r="BZ9" s="33"/>
      <c r="CA9" s="33"/>
      <c r="CB9" s="33"/>
      <c r="CC9" s="33"/>
      <c r="CD9" s="33"/>
      <c r="CE9" s="33"/>
      <c r="CF9" s="33"/>
      <c r="CV9" s="33"/>
      <c r="CW9" s="33"/>
      <c r="CX9" s="33"/>
      <c r="CY9" s="33"/>
      <c r="CZ9" s="33"/>
      <c r="DA9" s="33"/>
      <c r="DB9" s="33"/>
      <c r="DC9" s="33"/>
      <c r="DD9" s="33"/>
      <c r="DE9" s="33"/>
      <c r="DF9" s="33"/>
      <c r="DG9" s="33"/>
      <c r="DH9" s="33"/>
      <c r="DL9" s="64" t="s">
        <v>77</v>
      </c>
      <c r="DM9" s="30" t="str">
        <f t="shared" si="53"/>
        <v>Toyota</v>
      </c>
      <c r="DN9" s="39">
        <f t="shared" si="54"/>
        <v>2</v>
      </c>
      <c r="DO9" s="40">
        <f t="shared" si="55"/>
        <v>28</v>
      </c>
      <c r="DP9" s="51">
        <f t="shared" si="56"/>
        <v>15</v>
      </c>
      <c r="DQ9" s="485"/>
      <c r="DR9" s="70"/>
      <c r="DS9" s="8" t="s">
        <v>79</v>
      </c>
      <c r="DT9" s="30" t="str">
        <f t="shared" si="57"/>
        <v>Tata Motors</v>
      </c>
      <c r="DU9" s="39">
        <f t="shared" si="58"/>
        <v>100</v>
      </c>
      <c r="DV9" s="39">
        <f t="shared" si="59"/>
        <v>5</v>
      </c>
      <c r="DW9" s="39">
        <f t="shared" si="60"/>
        <v>42</v>
      </c>
      <c r="DX9" s="39">
        <f t="shared" si="61"/>
        <v>7</v>
      </c>
      <c r="DY9" s="39">
        <f t="shared" si="62"/>
        <v>81</v>
      </c>
      <c r="DZ9" s="51">
        <f t="shared" si="63"/>
        <v>47</v>
      </c>
      <c r="EA9" s="485"/>
      <c r="EC9" s="8" t="s">
        <v>80</v>
      </c>
      <c r="ED9" s="30" t="str">
        <f t="shared" si="64"/>
        <v>Ford</v>
      </c>
      <c r="EE9" s="39">
        <f t="shared" si="65"/>
        <v>79</v>
      </c>
      <c r="EF9" s="39">
        <f t="shared" si="66"/>
        <v>11</v>
      </c>
      <c r="EG9" s="39">
        <f t="shared" si="67"/>
        <v>11</v>
      </c>
      <c r="EH9" s="31">
        <f t="shared" si="68"/>
        <v>34</v>
      </c>
      <c r="EI9" s="473"/>
      <c r="EU9" s="37"/>
      <c r="EX9" s="33"/>
      <c r="EY9" s="33"/>
      <c r="EZ9" s="37"/>
      <c r="FA9" s="33"/>
      <c r="FB9" s="33"/>
      <c r="FC9" s="33"/>
      <c r="FD9" s="33"/>
      <c r="FE9" s="33"/>
      <c r="FF9" s="37"/>
      <c r="FG9" s="33"/>
      <c r="FH9" s="33"/>
      <c r="FI9" s="33"/>
      <c r="FJ9" s="37"/>
    </row>
    <row r="10" spans="1:166" ht="18" customHeight="1">
      <c r="A10" s="167" t="s">
        <v>72</v>
      </c>
      <c r="B10" s="30" t="str">
        <f t="shared" si="0"/>
        <v>Geely</v>
      </c>
      <c r="C10" s="31">
        <f t="shared" si="1"/>
        <v>54</v>
      </c>
      <c r="D10" s="31">
        <f t="shared" si="1"/>
        <v>46</v>
      </c>
      <c r="E10" s="31">
        <f t="shared" si="1"/>
        <v>45</v>
      </c>
      <c r="F10" s="35">
        <f t="shared" si="2"/>
        <v>48.144444444444446</v>
      </c>
      <c r="G10" s="491"/>
      <c r="I10" s="21" t="s">
        <v>72</v>
      </c>
      <c r="J10" s="176" t="str">
        <f t="shared" si="3"/>
        <v>Geely</v>
      </c>
      <c r="K10" s="35">
        <f t="shared" si="4"/>
        <v>48.144444444444446</v>
      </c>
      <c r="L10" s="491"/>
      <c r="M10" s="110">
        <f t="shared" si="5"/>
        <v>29</v>
      </c>
      <c r="N10" s="110">
        <f t="shared" si="6"/>
        <v>78</v>
      </c>
      <c r="O10" s="31">
        <f t="shared" si="7"/>
        <v>54</v>
      </c>
      <c r="P10" s="110">
        <f t="shared" si="8"/>
        <v>37</v>
      </c>
      <c r="Q10" s="110">
        <f t="shared" si="9"/>
        <v>35</v>
      </c>
      <c r="R10" s="110">
        <f t="shared" si="10"/>
        <v>51</v>
      </c>
      <c r="S10" s="110">
        <f t="shared" si="11"/>
        <v>7</v>
      </c>
      <c r="T10" s="110">
        <f t="shared" si="12"/>
        <v>98</v>
      </c>
      <c r="U10" s="31">
        <f t="shared" si="13"/>
        <v>46</v>
      </c>
      <c r="V10" s="110">
        <f t="shared" si="14"/>
        <v>87</v>
      </c>
      <c r="W10" s="110">
        <f t="shared" si="15"/>
        <v>45</v>
      </c>
      <c r="X10" s="110">
        <f t="shared" si="16"/>
        <v>4</v>
      </c>
      <c r="Y10" s="31">
        <f t="shared" si="17"/>
        <v>45</v>
      </c>
      <c r="AA10" s="21" t="str">
        <f t="shared" si="18"/>
        <v>Geely</v>
      </c>
      <c r="AB10" s="30" t="str">
        <f t="shared" si="19"/>
        <v>Geely</v>
      </c>
      <c r="AC10" s="479"/>
      <c r="AD10" s="35">
        <f t="shared" si="20"/>
        <v>48.144444444444446</v>
      </c>
      <c r="AE10" s="23" t="str">
        <f t="shared" si="21"/>
        <v/>
      </c>
      <c r="AF10" s="215">
        <f t="shared" si="22"/>
        <v>0</v>
      </c>
      <c r="AG10" s="169">
        <f t="shared" si="23"/>
        <v>29</v>
      </c>
      <c r="AH10" s="23" t="str">
        <f t="shared" si="24"/>
        <v>▲</v>
      </c>
      <c r="AI10" s="215">
        <f t="shared" si="25"/>
        <v>6</v>
      </c>
      <c r="AJ10" s="169">
        <f t="shared" si="26"/>
        <v>78</v>
      </c>
      <c r="AK10" s="23" t="str">
        <f t="shared" si="27"/>
        <v>▼</v>
      </c>
      <c r="AL10" s="215">
        <f t="shared" si="28"/>
        <v>-10</v>
      </c>
      <c r="AM10" s="169">
        <f t="shared" si="29"/>
        <v>37</v>
      </c>
      <c r="AN10" s="23" t="str">
        <f t="shared" si="30"/>
        <v>▼</v>
      </c>
      <c r="AO10" s="215">
        <f t="shared" si="31"/>
        <v>-8</v>
      </c>
      <c r="AP10" s="169">
        <f t="shared" si="32"/>
        <v>35</v>
      </c>
      <c r="AQ10" s="23" t="str">
        <f t="shared" si="33"/>
        <v>▲</v>
      </c>
      <c r="AR10" s="215">
        <f t="shared" si="34"/>
        <v>3</v>
      </c>
      <c r="AS10" s="169">
        <f t="shared" si="35"/>
        <v>51</v>
      </c>
      <c r="AT10" s="23" t="str">
        <f t="shared" si="36"/>
        <v>▼</v>
      </c>
      <c r="AU10" s="215">
        <f t="shared" si="37"/>
        <v>-17</v>
      </c>
      <c r="AV10" s="169">
        <f t="shared" si="38"/>
        <v>7</v>
      </c>
      <c r="AW10" s="23" t="str">
        <f t="shared" si="39"/>
        <v>▼</v>
      </c>
      <c r="AX10" s="215">
        <f t="shared" si="40"/>
        <v>-2</v>
      </c>
      <c r="AY10" s="169">
        <f t="shared" si="41"/>
        <v>98</v>
      </c>
      <c r="AZ10" s="23" t="str">
        <f t="shared" si="42"/>
        <v>▼</v>
      </c>
      <c r="BA10" s="215">
        <f t="shared" si="43"/>
        <v>-2</v>
      </c>
      <c r="BB10" s="169">
        <f t="shared" si="44"/>
        <v>87</v>
      </c>
      <c r="BC10" s="23" t="str">
        <f t="shared" si="45"/>
        <v>▲</v>
      </c>
      <c r="BD10" s="215">
        <f t="shared" si="46"/>
        <v>16</v>
      </c>
      <c r="BE10" s="169">
        <f t="shared" si="47"/>
        <v>45</v>
      </c>
      <c r="BF10" s="23" t="str">
        <f t="shared" si="48"/>
        <v>▼</v>
      </c>
      <c r="BG10" s="215">
        <f t="shared" si="49"/>
        <v>-1</v>
      </c>
      <c r="BH10" s="169">
        <f t="shared" si="50"/>
        <v>4</v>
      </c>
      <c r="BI10" s="23" t="str">
        <f t="shared" si="51"/>
        <v>▲</v>
      </c>
      <c r="BJ10" s="215">
        <f t="shared" si="52"/>
        <v>4</v>
      </c>
      <c r="BY10" s="33"/>
      <c r="BZ10" s="33"/>
      <c r="CA10" s="33"/>
      <c r="CB10" s="33"/>
      <c r="CC10" s="33"/>
      <c r="CD10" s="33"/>
      <c r="CE10" s="33"/>
      <c r="CF10" s="33"/>
      <c r="CV10" s="33"/>
      <c r="CW10" s="33"/>
      <c r="CX10" s="33"/>
      <c r="CY10" s="33"/>
      <c r="CZ10" s="33"/>
      <c r="DA10" s="33"/>
      <c r="DB10" s="33"/>
      <c r="DC10" s="33"/>
      <c r="DD10" s="33"/>
      <c r="DE10" s="33"/>
      <c r="DF10" s="33"/>
      <c r="DG10" s="33"/>
      <c r="DH10" s="33"/>
      <c r="DL10" s="64" t="s">
        <v>81</v>
      </c>
      <c r="DM10" s="30" t="str">
        <f t="shared" si="53"/>
        <v>Great Wall</v>
      </c>
      <c r="DN10" s="39">
        <f t="shared" si="54"/>
        <v>17</v>
      </c>
      <c r="DO10" s="40">
        <f t="shared" si="55"/>
        <v>46</v>
      </c>
      <c r="DP10" s="51">
        <f t="shared" si="56"/>
        <v>32</v>
      </c>
      <c r="DQ10" s="485"/>
      <c r="DR10" s="70"/>
      <c r="DS10" s="8" t="s">
        <v>70</v>
      </c>
      <c r="DT10" s="30" t="str">
        <f t="shared" si="57"/>
        <v>GM</v>
      </c>
      <c r="DU10" s="39">
        <f t="shared" si="58"/>
        <v>59</v>
      </c>
      <c r="DV10" s="39">
        <f t="shared" si="59"/>
        <v>29</v>
      </c>
      <c r="DW10" s="39">
        <f t="shared" si="60"/>
        <v>75</v>
      </c>
      <c r="DX10" s="39">
        <f t="shared" si="61"/>
        <v>0</v>
      </c>
      <c r="DY10" s="39">
        <f t="shared" si="62"/>
        <v>74</v>
      </c>
      <c r="DZ10" s="51">
        <f t="shared" si="63"/>
        <v>47</v>
      </c>
      <c r="EA10" s="485"/>
      <c r="EC10" s="8" t="s">
        <v>82</v>
      </c>
      <c r="ED10" s="30" t="str">
        <f t="shared" si="64"/>
        <v>Renault</v>
      </c>
      <c r="EE10" s="39">
        <f t="shared" si="65"/>
        <v>84</v>
      </c>
      <c r="EF10" s="39">
        <f t="shared" si="66"/>
        <v>11</v>
      </c>
      <c r="EG10" s="39">
        <f t="shared" si="67"/>
        <v>24</v>
      </c>
      <c r="EH10" s="31">
        <f t="shared" si="68"/>
        <v>40</v>
      </c>
      <c r="EI10" s="473"/>
      <c r="EU10" s="37"/>
      <c r="EX10" s="33"/>
      <c r="EY10" s="33"/>
      <c r="EZ10" s="37"/>
      <c r="FA10" s="33"/>
      <c r="FB10" s="33"/>
      <c r="FC10" s="33"/>
      <c r="FD10" s="33"/>
      <c r="FE10" s="33"/>
      <c r="FF10" s="37"/>
      <c r="FG10" s="33"/>
      <c r="FH10" s="33"/>
      <c r="FI10" s="33"/>
      <c r="FJ10" s="37"/>
    </row>
    <row r="11" spans="1:166" ht="18" customHeight="1">
      <c r="A11" s="167" t="s">
        <v>83</v>
      </c>
      <c r="B11" s="30" t="str">
        <f t="shared" si="0"/>
        <v>Chang'an</v>
      </c>
      <c r="C11" s="31">
        <f t="shared" si="1"/>
        <v>57</v>
      </c>
      <c r="D11" s="31">
        <f t="shared" si="1"/>
        <v>33</v>
      </c>
      <c r="E11" s="31">
        <f t="shared" si="1"/>
        <v>36</v>
      </c>
      <c r="F11" s="35">
        <f t="shared" si="2"/>
        <v>42.111111111111114</v>
      </c>
      <c r="G11" s="491"/>
      <c r="I11" s="21" t="s">
        <v>83</v>
      </c>
      <c r="J11" s="176" t="str">
        <f t="shared" si="3"/>
        <v>Chang'an</v>
      </c>
      <c r="K11" s="35">
        <f t="shared" si="4"/>
        <v>42.111111111111114</v>
      </c>
      <c r="L11" s="491"/>
      <c r="M11" s="110">
        <f t="shared" si="5"/>
        <v>21</v>
      </c>
      <c r="N11" s="110">
        <f t="shared" si="6"/>
        <v>93</v>
      </c>
      <c r="O11" s="31">
        <f t="shared" si="7"/>
        <v>57</v>
      </c>
      <c r="P11" s="110">
        <f t="shared" si="8"/>
        <v>39</v>
      </c>
      <c r="Q11" s="110">
        <f t="shared" si="9"/>
        <v>5</v>
      </c>
      <c r="R11" s="110">
        <f t="shared" si="10"/>
        <v>21</v>
      </c>
      <c r="S11" s="110">
        <f t="shared" si="11"/>
        <v>0</v>
      </c>
      <c r="T11" s="110">
        <f t="shared" si="12"/>
        <v>100</v>
      </c>
      <c r="U11" s="31">
        <f t="shared" si="13"/>
        <v>33</v>
      </c>
      <c r="V11" s="110">
        <f t="shared" si="14"/>
        <v>73</v>
      </c>
      <c r="W11" s="110">
        <f t="shared" si="15"/>
        <v>36</v>
      </c>
      <c r="X11" s="110">
        <f t="shared" si="16"/>
        <v>0</v>
      </c>
      <c r="Y11" s="31">
        <f t="shared" si="17"/>
        <v>36</v>
      </c>
      <c r="AA11" s="21" t="str">
        <f t="shared" si="18"/>
        <v>Changan</v>
      </c>
      <c r="AB11" s="30" t="str">
        <f t="shared" si="19"/>
        <v>Chang'an</v>
      </c>
      <c r="AC11" s="479"/>
      <c r="AD11" s="35">
        <f t="shared" si="20"/>
        <v>42.111111111111114</v>
      </c>
      <c r="AE11" s="23" t="str">
        <f t="shared" si="21"/>
        <v>▲</v>
      </c>
      <c r="AF11" s="215">
        <f t="shared" si="22"/>
        <v>6</v>
      </c>
      <c r="AG11" s="169">
        <f t="shared" si="23"/>
        <v>21</v>
      </c>
      <c r="AH11" s="23" t="str">
        <f t="shared" si="24"/>
        <v>▲</v>
      </c>
      <c r="AI11" s="215">
        <f t="shared" si="25"/>
        <v>5</v>
      </c>
      <c r="AJ11" s="169">
        <f t="shared" si="26"/>
        <v>93</v>
      </c>
      <c r="AK11" s="23" t="str">
        <f t="shared" si="27"/>
        <v>▲</v>
      </c>
      <c r="AL11" s="215">
        <f t="shared" si="28"/>
        <v>5</v>
      </c>
      <c r="AM11" s="169">
        <f t="shared" si="29"/>
        <v>39</v>
      </c>
      <c r="AN11" s="23" t="str">
        <f t="shared" si="30"/>
        <v>▼</v>
      </c>
      <c r="AO11" s="215">
        <f t="shared" si="31"/>
        <v>-6</v>
      </c>
      <c r="AP11" s="169">
        <f t="shared" si="32"/>
        <v>5</v>
      </c>
      <c r="AQ11" s="23" t="str">
        <f t="shared" si="33"/>
        <v>▲</v>
      </c>
      <c r="AR11" s="215">
        <f t="shared" si="34"/>
        <v>1</v>
      </c>
      <c r="AS11" s="169">
        <f t="shared" si="35"/>
        <v>21</v>
      </c>
      <c r="AT11" s="23" t="str">
        <f t="shared" si="36"/>
        <v>▲</v>
      </c>
      <c r="AU11" s="215">
        <f t="shared" si="37"/>
        <v>2</v>
      </c>
      <c r="AV11" s="169">
        <f t="shared" si="38"/>
        <v>0</v>
      </c>
      <c r="AW11" s="23" t="str">
        <f t="shared" si="39"/>
        <v/>
      </c>
      <c r="AX11" s="215">
        <f t="shared" si="40"/>
        <v>0</v>
      </c>
      <c r="AY11" s="169">
        <f t="shared" si="41"/>
        <v>100</v>
      </c>
      <c r="AZ11" s="23" t="str">
        <f t="shared" si="42"/>
        <v>▲</v>
      </c>
      <c r="BA11" s="215">
        <f t="shared" si="43"/>
        <v>100</v>
      </c>
      <c r="BB11" s="169">
        <f t="shared" si="44"/>
        <v>73</v>
      </c>
      <c r="BC11" s="23" t="str">
        <f t="shared" si="45"/>
        <v>▲</v>
      </c>
      <c r="BD11" s="215">
        <f t="shared" si="46"/>
        <v>5</v>
      </c>
      <c r="BE11" s="169">
        <f t="shared" si="47"/>
        <v>36</v>
      </c>
      <c r="BF11" s="23" t="str">
        <f t="shared" si="48"/>
        <v>▼</v>
      </c>
      <c r="BG11" s="215">
        <f t="shared" si="49"/>
        <v>-20</v>
      </c>
      <c r="BH11" s="169">
        <f t="shared" si="50"/>
        <v>0</v>
      </c>
      <c r="BI11" s="23" t="str">
        <f t="shared" si="51"/>
        <v/>
      </c>
      <c r="BJ11" s="215">
        <f t="shared" si="52"/>
        <v>0</v>
      </c>
      <c r="BY11" s="33"/>
      <c r="BZ11" s="33"/>
      <c r="CA11" s="33"/>
      <c r="CB11" s="33"/>
      <c r="CC11" s="33"/>
      <c r="CD11" s="33"/>
      <c r="CE11" s="33"/>
      <c r="CF11" s="33"/>
      <c r="CV11" s="33"/>
      <c r="CW11" s="33"/>
      <c r="CX11" s="33"/>
      <c r="CY11" s="33"/>
      <c r="CZ11" s="33"/>
      <c r="DA11" s="33"/>
      <c r="DB11" s="33"/>
      <c r="DC11" s="33"/>
      <c r="DD11" s="33"/>
      <c r="DE11" s="33"/>
      <c r="DF11" s="33"/>
      <c r="DG11" s="33"/>
      <c r="DH11" s="33"/>
      <c r="DL11" s="64" t="s">
        <v>69</v>
      </c>
      <c r="DM11" s="30" t="str">
        <f t="shared" si="53"/>
        <v>VW</v>
      </c>
      <c r="DN11" s="39">
        <f t="shared" si="54"/>
        <v>11</v>
      </c>
      <c r="DO11" s="40">
        <f t="shared" si="55"/>
        <v>59</v>
      </c>
      <c r="DP11" s="51">
        <f t="shared" si="56"/>
        <v>35</v>
      </c>
      <c r="DQ11" s="485"/>
      <c r="DR11" s="70"/>
      <c r="DS11" s="8" t="s">
        <v>84</v>
      </c>
      <c r="DT11" s="30" t="str">
        <f t="shared" si="57"/>
        <v>Hyundai-Kia</v>
      </c>
      <c r="DU11" s="39">
        <f t="shared" si="58"/>
        <v>26</v>
      </c>
      <c r="DV11" s="39">
        <f t="shared" si="59"/>
        <v>79</v>
      </c>
      <c r="DW11" s="39">
        <f t="shared" si="60"/>
        <v>71</v>
      </c>
      <c r="DX11" s="39">
        <f t="shared" si="61"/>
        <v>11</v>
      </c>
      <c r="DY11" s="39">
        <f t="shared" si="62"/>
        <v>100</v>
      </c>
      <c r="DZ11" s="51">
        <f t="shared" si="63"/>
        <v>57</v>
      </c>
      <c r="EA11" s="485"/>
      <c r="EC11" s="8" t="s">
        <v>72</v>
      </c>
      <c r="ED11" s="30" t="str">
        <f t="shared" si="64"/>
        <v>Geely</v>
      </c>
      <c r="EE11" s="39">
        <f t="shared" si="65"/>
        <v>87</v>
      </c>
      <c r="EF11" s="39">
        <f t="shared" si="66"/>
        <v>45</v>
      </c>
      <c r="EG11" s="39">
        <f t="shared" si="67"/>
        <v>4</v>
      </c>
      <c r="EH11" s="31">
        <f t="shared" si="68"/>
        <v>45</v>
      </c>
      <c r="EI11" s="473"/>
      <c r="EU11" s="37"/>
      <c r="EX11" s="33"/>
      <c r="EY11" s="33"/>
      <c r="EZ11" s="37"/>
      <c r="FA11" s="33"/>
      <c r="FB11" s="33"/>
      <c r="FC11" s="33"/>
      <c r="FD11" s="33"/>
      <c r="FE11" s="33"/>
      <c r="FF11" s="37"/>
      <c r="FG11" s="33"/>
      <c r="FH11" s="33"/>
      <c r="FI11" s="33"/>
      <c r="FJ11" s="37"/>
    </row>
    <row r="12" spans="1:166" ht="18" customHeight="1">
      <c r="A12" s="167" t="s">
        <v>82</v>
      </c>
      <c r="B12" s="30" t="str">
        <f t="shared" si="0"/>
        <v>Renault</v>
      </c>
      <c r="C12" s="31">
        <f t="shared" si="1"/>
        <v>42</v>
      </c>
      <c r="D12" s="31">
        <f t="shared" si="1"/>
        <v>36</v>
      </c>
      <c r="E12" s="31">
        <f t="shared" si="1"/>
        <v>40</v>
      </c>
      <c r="F12" s="35">
        <f t="shared" si="2"/>
        <v>39.088888888888881</v>
      </c>
      <c r="G12" s="491"/>
      <c r="I12" s="21" t="s">
        <v>82</v>
      </c>
      <c r="J12" s="176" t="str">
        <f t="shared" si="3"/>
        <v>Renault</v>
      </c>
      <c r="K12" s="35">
        <f t="shared" si="4"/>
        <v>39.088888888888881</v>
      </c>
      <c r="L12" s="491"/>
      <c r="M12" s="110">
        <f t="shared" si="5"/>
        <v>10</v>
      </c>
      <c r="N12" s="110">
        <f t="shared" si="6"/>
        <v>74</v>
      </c>
      <c r="O12" s="31">
        <f t="shared" si="7"/>
        <v>42</v>
      </c>
      <c r="P12" s="110">
        <f t="shared" si="8"/>
        <v>41</v>
      </c>
      <c r="Q12" s="110">
        <f t="shared" si="9"/>
        <v>15</v>
      </c>
      <c r="R12" s="110">
        <f t="shared" si="10"/>
        <v>27</v>
      </c>
      <c r="S12" s="110">
        <f t="shared" si="11"/>
        <v>0</v>
      </c>
      <c r="T12" s="110">
        <f t="shared" si="12"/>
        <v>95</v>
      </c>
      <c r="U12" s="31">
        <f t="shared" si="13"/>
        <v>36</v>
      </c>
      <c r="V12" s="110">
        <f t="shared" si="14"/>
        <v>84</v>
      </c>
      <c r="W12" s="110">
        <f t="shared" si="15"/>
        <v>11</v>
      </c>
      <c r="X12" s="110">
        <f t="shared" si="16"/>
        <v>24</v>
      </c>
      <c r="Y12" s="31">
        <f t="shared" si="17"/>
        <v>40</v>
      </c>
      <c r="AA12" s="21" t="str">
        <f t="shared" si="18"/>
        <v>Renault</v>
      </c>
      <c r="AB12" s="30" t="str">
        <f t="shared" si="19"/>
        <v>Renault</v>
      </c>
      <c r="AC12" s="479"/>
      <c r="AD12" s="35">
        <f t="shared" si="20"/>
        <v>39.088888888888881</v>
      </c>
      <c r="AE12" s="23" t="str">
        <f t="shared" si="21"/>
        <v>▼</v>
      </c>
      <c r="AF12" s="215">
        <f t="shared" si="22"/>
        <v>-5</v>
      </c>
      <c r="AG12" s="169">
        <f t="shared" si="23"/>
        <v>10</v>
      </c>
      <c r="AH12" s="23" t="str">
        <f t="shared" si="24"/>
        <v>▼</v>
      </c>
      <c r="AI12" s="215">
        <f t="shared" si="25"/>
        <v>-1</v>
      </c>
      <c r="AJ12" s="169">
        <f t="shared" si="26"/>
        <v>74</v>
      </c>
      <c r="AK12" s="23" t="str">
        <f t="shared" si="27"/>
        <v>▼</v>
      </c>
      <c r="AL12" s="215">
        <f t="shared" si="28"/>
        <v>-1</v>
      </c>
      <c r="AM12" s="169">
        <f t="shared" si="29"/>
        <v>41</v>
      </c>
      <c r="AN12" s="23" t="str">
        <f t="shared" si="30"/>
        <v>▼</v>
      </c>
      <c r="AO12" s="215">
        <f t="shared" si="31"/>
        <v>-8</v>
      </c>
      <c r="AP12" s="169">
        <f t="shared" si="32"/>
        <v>15</v>
      </c>
      <c r="AQ12" s="23" t="str">
        <f t="shared" si="33"/>
        <v>▲</v>
      </c>
      <c r="AR12" s="215">
        <f t="shared" si="34"/>
        <v>2</v>
      </c>
      <c r="AS12" s="169">
        <f t="shared" si="35"/>
        <v>27</v>
      </c>
      <c r="AT12" s="23" t="str">
        <f t="shared" si="36"/>
        <v>▼</v>
      </c>
      <c r="AU12" s="215">
        <f t="shared" si="37"/>
        <v>-5</v>
      </c>
      <c r="AV12" s="169">
        <f t="shared" si="38"/>
        <v>0</v>
      </c>
      <c r="AW12" s="23" t="str">
        <f t="shared" si="39"/>
        <v/>
      </c>
      <c r="AX12" s="215">
        <f t="shared" si="40"/>
        <v>0</v>
      </c>
      <c r="AY12" s="169">
        <f t="shared" si="41"/>
        <v>95</v>
      </c>
      <c r="AZ12" s="23" t="str">
        <f t="shared" si="42"/>
        <v>▲</v>
      </c>
      <c r="BA12" s="215">
        <f t="shared" si="43"/>
        <v>5</v>
      </c>
      <c r="BB12" s="169">
        <f t="shared" si="44"/>
        <v>84</v>
      </c>
      <c r="BC12" s="23" t="str">
        <f t="shared" si="45"/>
        <v>▼</v>
      </c>
      <c r="BD12" s="215">
        <f t="shared" si="46"/>
        <v>-16</v>
      </c>
      <c r="BE12" s="169">
        <f t="shared" si="47"/>
        <v>11</v>
      </c>
      <c r="BF12" s="23" t="str">
        <f t="shared" si="48"/>
        <v>▼</v>
      </c>
      <c r="BG12" s="215">
        <f t="shared" si="49"/>
        <v>-11</v>
      </c>
      <c r="BH12" s="169">
        <f t="shared" si="50"/>
        <v>24</v>
      </c>
      <c r="BI12" s="23" t="str">
        <f t="shared" si="51"/>
        <v>▼</v>
      </c>
      <c r="BJ12" s="215">
        <f t="shared" si="52"/>
        <v>-13</v>
      </c>
      <c r="BY12" s="33"/>
      <c r="BZ12" s="33"/>
      <c r="CA12" s="33"/>
      <c r="CB12" s="33"/>
      <c r="CC12" s="33"/>
      <c r="CD12" s="33"/>
      <c r="CE12" s="33"/>
      <c r="CF12" s="33"/>
      <c r="CV12" s="33"/>
      <c r="CW12" s="33"/>
      <c r="CX12" s="33"/>
      <c r="CY12" s="33"/>
      <c r="CZ12" s="33"/>
      <c r="DA12" s="33"/>
      <c r="DB12" s="33"/>
      <c r="DC12" s="33"/>
      <c r="DD12" s="33"/>
      <c r="DE12" s="33"/>
      <c r="DF12" s="33"/>
      <c r="DG12" s="33"/>
      <c r="DH12" s="33"/>
      <c r="DL12" s="64" t="s">
        <v>82</v>
      </c>
      <c r="DM12" s="30" t="str">
        <f t="shared" si="53"/>
        <v>Renault</v>
      </c>
      <c r="DN12" s="39">
        <f t="shared" si="54"/>
        <v>10</v>
      </c>
      <c r="DO12" s="40">
        <f t="shared" si="55"/>
        <v>74</v>
      </c>
      <c r="DP12" s="51">
        <f t="shared" si="56"/>
        <v>42</v>
      </c>
      <c r="DQ12" s="485"/>
      <c r="DR12" s="70"/>
      <c r="DS12" s="8" t="s">
        <v>81</v>
      </c>
      <c r="DT12" s="30" t="str">
        <f t="shared" si="57"/>
        <v>Great Wall</v>
      </c>
      <c r="DU12" s="39">
        <f t="shared" si="58"/>
        <v>46</v>
      </c>
      <c r="DV12" s="39">
        <f t="shared" si="59"/>
        <v>18</v>
      </c>
      <c r="DW12" s="39">
        <f t="shared" si="60"/>
        <v>53</v>
      </c>
      <c r="DX12" s="39">
        <f t="shared" si="61"/>
        <v>0</v>
      </c>
      <c r="DY12" s="39">
        <f t="shared" si="62"/>
        <v>100</v>
      </c>
      <c r="DZ12" s="51">
        <f t="shared" si="63"/>
        <v>43</v>
      </c>
      <c r="EA12" s="485"/>
      <c r="EC12" s="8" t="s">
        <v>68</v>
      </c>
      <c r="ED12" s="30" t="str">
        <f t="shared" si="64"/>
        <v>SAIC</v>
      </c>
      <c r="EE12" s="39">
        <f t="shared" si="65"/>
        <v>73</v>
      </c>
      <c r="EF12" s="39">
        <f t="shared" si="66"/>
        <v>65</v>
      </c>
      <c r="EG12" s="39">
        <f t="shared" si="67"/>
        <v>0</v>
      </c>
      <c r="EH12" s="31">
        <f t="shared" si="68"/>
        <v>46</v>
      </c>
      <c r="EI12" s="473"/>
      <c r="EU12" s="37"/>
      <c r="EX12" s="33"/>
      <c r="EY12" s="33"/>
      <c r="EZ12" s="37"/>
      <c r="FA12" s="33"/>
      <c r="FB12" s="33"/>
      <c r="FC12" s="33"/>
      <c r="FD12" s="33"/>
      <c r="FE12" s="33"/>
      <c r="FF12" s="37"/>
      <c r="FG12" s="33"/>
      <c r="FH12" s="33"/>
      <c r="FI12" s="33"/>
      <c r="FJ12" s="37"/>
    </row>
    <row r="13" spans="1:166" ht="18" customHeight="1">
      <c r="A13" s="167" t="s">
        <v>85</v>
      </c>
      <c r="B13" s="30" t="str">
        <f t="shared" si="0"/>
        <v>GM</v>
      </c>
      <c r="C13" s="31">
        <f t="shared" si="1"/>
        <v>12</v>
      </c>
      <c r="D13" s="31">
        <f t="shared" si="1"/>
        <v>47</v>
      </c>
      <c r="E13" s="31">
        <f t="shared" si="1"/>
        <v>51</v>
      </c>
      <c r="F13" s="35">
        <f t="shared" si="2"/>
        <v>36.522222222222219</v>
      </c>
      <c r="G13" s="491"/>
      <c r="I13" s="21" t="s">
        <v>70</v>
      </c>
      <c r="J13" s="176" t="str">
        <f t="shared" si="3"/>
        <v>GM</v>
      </c>
      <c r="K13" s="35">
        <f t="shared" si="4"/>
        <v>36.522222222222219</v>
      </c>
      <c r="L13" s="491"/>
      <c r="M13" s="110">
        <f t="shared" si="5"/>
        <v>4</v>
      </c>
      <c r="N13" s="110">
        <f t="shared" si="6"/>
        <v>19</v>
      </c>
      <c r="O13" s="31">
        <f t="shared" si="7"/>
        <v>12</v>
      </c>
      <c r="P13" s="110">
        <f t="shared" si="8"/>
        <v>59</v>
      </c>
      <c r="Q13" s="110">
        <f t="shared" si="9"/>
        <v>29</v>
      </c>
      <c r="R13" s="110">
        <f t="shared" si="10"/>
        <v>75</v>
      </c>
      <c r="S13" s="110">
        <f t="shared" si="11"/>
        <v>0</v>
      </c>
      <c r="T13" s="110">
        <f t="shared" si="12"/>
        <v>74</v>
      </c>
      <c r="U13" s="31">
        <f t="shared" si="13"/>
        <v>47</v>
      </c>
      <c r="V13" s="110">
        <f t="shared" si="14"/>
        <v>87</v>
      </c>
      <c r="W13" s="110">
        <f t="shared" si="15"/>
        <v>10</v>
      </c>
      <c r="X13" s="110">
        <f t="shared" si="16"/>
        <v>55</v>
      </c>
      <c r="Y13" s="31">
        <f t="shared" si="17"/>
        <v>51</v>
      </c>
      <c r="AA13" s="21" t="str">
        <f t="shared" si="18"/>
        <v>GM</v>
      </c>
      <c r="AB13" s="30" t="str">
        <f t="shared" si="19"/>
        <v>GM</v>
      </c>
      <c r="AC13" s="479"/>
      <c r="AD13" s="35">
        <f t="shared" si="20"/>
        <v>36.522222222222219</v>
      </c>
      <c r="AE13" s="23" t="str">
        <f t="shared" si="21"/>
        <v>▼</v>
      </c>
      <c r="AF13" s="215">
        <f t="shared" si="22"/>
        <v>-9</v>
      </c>
      <c r="AG13" s="169">
        <f t="shared" si="23"/>
        <v>4</v>
      </c>
      <c r="AH13" s="23" t="str">
        <f t="shared" si="24"/>
        <v>▲</v>
      </c>
      <c r="AI13" s="215">
        <f t="shared" si="25"/>
        <v>2</v>
      </c>
      <c r="AJ13" s="169">
        <f t="shared" si="26"/>
        <v>19</v>
      </c>
      <c r="AK13" s="23" t="str">
        <f t="shared" si="27"/>
        <v>▼</v>
      </c>
      <c r="AL13" s="215">
        <f t="shared" si="28"/>
        <v>-19</v>
      </c>
      <c r="AM13" s="169">
        <f t="shared" si="29"/>
        <v>59</v>
      </c>
      <c r="AN13" s="23" t="str">
        <f t="shared" si="30"/>
        <v>▲</v>
      </c>
      <c r="AO13" s="215">
        <f t="shared" si="31"/>
        <v>6</v>
      </c>
      <c r="AP13" s="169">
        <f t="shared" si="32"/>
        <v>29</v>
      </c>
      <c r="AQ13" s="23" t="str">
        <f t="shared" si="33"/>
        <v>▼</v>
      </c>
      <c r="AR13" s="215">
        <f t="shared" si="34"/>
        <v>-2</v>
      </c>
      <c r="AS13" s="169">
        <f t="shared" si="35"/>
        <v>75</v>
      </c>
      <c r="AT13" s="23" t="str">
        <f t="shared" si="36"/>
        <v>▼</v>
      </c>
      <c r="AU13" s="215">
        <f t="shared" si="37"/>
        <v>-3</v>
      </c>
      <c r="AV13" s="169">
        <f t="shared" si="38"/>
        <v>0</v>
      </c>
      <c r="AW13" s="23" t="str">
        <f t="shared" si="39"/>
        <v/>
      </c>
      <c r="AX13" s="215">
        <f t="shared" si="40"/>
        <v>0</v>
      </c>
      <c r="AY13" s="169">
        <f t="shared" si="41"/>
        <v>74</v>
      </c>
      <c r="AZ13" s="23" t="str">
        <f t="shared" si="42"/>
        <v>▼</v>
      </c>
      <c r="BA13" s="215">
        <f t="shared" si="43"/>
        <v>-25</v>
      </c>
      <c r="BB13" s="169">
        <f t="shared" si="44"/>
        <v>87</v>
      </c>
      <c r="BC13" s="23" t="str">
        <f t="shared" si="45"/>
        <v>▼</v>
      </c>
      <c r="BD13" s="215">
        <f t="shared" si="46"/>
        <v>-9</v>
      </c>
      <c r="BE13" s="169">
        <f t="shared" si="47"/>
        <v>10</v>
      </c>
      <c r="BF13" s="23" t="str">
        <f t="shared" si="48"/>
        <v>▼</v>
      </c>
      <c r="BG13" s="215">
        <f t="shared" si="49"/>
        <v>-26</v>
      </c>
      <c r="BH13" s="169">
        <f t="shared" si="50"/>
        <v>55</v>
      </c>
      <c r="BI13" s="23" t="str">
        <f t="shared" si="51"/>
        <v>▼</v>
      </c>
      <c r="BJ13" s="215">
        <f t="shared" si="52"/>
        <v>-2</v>
      </c>
      <c r="BY13" s="33"/>
      <c r="BZ13" s="33"/>
      <c r="CA13" s="33"/>
      <c r="CB13" s="33"/>
      <c r="CC13" s="33"/>
      <c r="CD13" s="33"/>
      <c r="CE13" s="33"/>
      <c r="CF13" s="33"/>
      <c r="CV13" s="33"/>
      <c r="CW13" s="33"/>
      <c r="CX13" s="33"/>
      <c r="CY13" s="33"/>
      <c r="CZ13" s="33"/>
      <c r="DA13" s="33"/>
      <c r="DB13" s="33"/>
      <c r="DC13" s="33"/>
      <c r="DD13" s="33"/>
      <c r="DE13" s="33"/>
      <c r="DF13" s="33"/>
      <c r="DG13" s="33"/>
      <c r="DH13" s="33"/>
      <c r="DL13" s="64" t="s">
        <v>84</v>
      </c>
      <c r="DM13" s="30" t="str">
        <f t="shared" si="53"/>
        <v>Hyundai-Kia</v>
      </c>
      <c r="DN13" s="39">
        <f t="shared" si="54"/>
        <v>7</v>
      </c>
      <c r="DO13" s="40">
        <f t="shared" si="55"/>
        <v>30</v>
      </c>
      <c r="DP13" s="51">
        <f t="shared" si="56"/>
        <v>19</v>
      </c>
      <c r="DQ13" s="485"/>
      <c r="DR13" s="70"/>
      <c r="DS13" s="8" t="s">
        <v>80</v>
      </c>
      <c r="DT13" s="30" t="str">
        <f t="shared" si="57"/>
        <v>Ford</v>
      </c>
      <c r="DU13" s="39">
        <f t="shared" si="58"/>
        <v>23</v>
      </c>
      <c r="DV13" s="39">
        <f t="shared" si="59"/>
        <v>48</v>
      </c>
      <c r="DW13" s="39">
        <f t="shared" si="60"/>
        <v>86</v>
      </c>
      <c r="DX13" s="39">
        <f t="shared" si="61"/>
        <v>14</v>
      </c>
      <c r="DY13" s="39">
        <f t="shared" si="62"/>
        <v>92</v>
      </c>
      <c r="DZ13" s="51">
        <f t="shared" si="63"/>
        <v>53</v>
      </c>
      <c r="EA13" s="485"/>
      <c r="EC13" s="8" t="s">
        <v>69</v>
      </c>
      <c r="ED13" s="30" t="str">
        <f t="shared" si="64"/>
        <v>VW</v>
      </c>
      <c r="EE13" s="39">
        <f t="shared" si="65"/>
        <v>79</v>
      </c>
      <c r="EF13" s="39">
        <f t="shared" si="66"/>
        <v>22</v>
      </c>
      <c r="EG13" s="39">
        <f t="shared" si="67"/>
        <v>8</v>
      </c>
      <c r="EH13" s="31">
        <f t="shared" si="68"/>
        <v>36</v>
      </c>
      <c r="EI13" s="473"/>
      <c r="EU13" s="37"/>
      <c r="EX13" s="33"/>
      <c r="EY13" s="33"/>
      <c r="EZ13" s="37"/>
      <c r="FA13" s="33"/>
      <c r="FB13" s="33"/>
      <c r="FC13" s="33"/>
      <c r="FD13" s="33"/>
      <c r="FE13" s="33"/>
      <c r="FF13" s="37"/>
      <c r="FG13" s="33"/>
      <c r="FH13" s="33"/>
      <c r="FI13" s="33"/>
      <c r="FJ13" s="37"/>
    </row>
    <row r="14" spans="1:166" ht="18" customHeight="1">
      <c r="A14" s="167" t="s">
        <v>86</v>
      </c>
      <c r="B14" s="30" t="str">
        <f t="shared" si="0"/>
        <v>Great Wall</v>
      </c>
      <c r="C14" s="31">
        <f t="shared" si="1"/>
        <v>32</v>
      </c>
      <c r="D14" s="31">
        <f t="shared" si="1"/>
        <v>43</v>
      </c>
      <c r="E14" s="31">
        <f t="shared" si="1"/>
        <v>31</v>
      </c>
      <c r="F14" s="35">
        <f t="shared" si="2"/>
        <v>35.18888888888889</v>
      </c>
      <c r="G14" s="491"/>
      <c r="I14" s="21" t="s">
        <v>86</v>
      </c>
      <c r="J14" s="176" t="str">
        <f t="shared" si="3"/>
        <v>Great Wall</v>
      </c>
      <c r="K14" s="35">
        <f t="shared" si="4"/>
        <v>35.18888888888889</v>
      </c>
      <c r="L14" s="491"/>
      <c r="M14" s="110">
        <f t="shared" si="5"/>
        <v>17</v>
      </c>
      <c r="N14" s="110">
        <f t="shared" si="6"/>
        <v>46</v>
      </c>
      <c r="O14" s="31">
        <f t="shared" si="7"/>
        <v>32</v>
      </c>
      <c r="P14" s="110">
        <f t="shared" si="8"/>
        <v>46</v>
      </c>
      <c r="Q14" s="110">
        <f t="shared" si="9"/>
        <v>18</v>
      </c>
      <c r="R14" s="110">
        <f t="shared" si="10"/>
        <v>53</v>
      </c>
      <c r="S14" s="110">
        <f t="shared" si="11"/>
        <v>0</v>
      </c>
      <c r="T14" s="110">
        <f t="shared" si="12"/>
        <v>100</v>
      </c>
      <c r="U14" s="31">
        <f t="shared" si="13"/>
        <v>43</v>
      </c>
      <c r="V14" s="110">
        <f t="shared" si="14"/>
        <v>89</v>
      </c>
      <c r="W14" s="110">
        <f t="shared" si="15"/>
        <v>3</v>
      </c>
      <c r="X14" s="110">
        <f t="shared" si="16"/>
        <v>0</v>
      </c>
      <c r="Y14" s="31">
        <f t="shared" si="17"/>
        <v>31</v>
      </c>
      <c r="AA14" s="21" t="str">
        <f t="shared" si="18"/>
        <v>Great Wall</v>
      </c>
      <c r="AB14" s="30" t="str">
        <f t="shared" si="19"/>
        <v>Great Wall</v>
      </c>
      <c r="AC14" s="479"/>
      <c r="AD14" s="35">
        <f t="shared" si="20"/>
        <v>35.18888888888889</v>
      </c>
      <c r="AE14" s="23" t="str">
        <f t="shared" si="21"/>
        <v>▼</v>
      </c>
      <c r="AF14" s="215">
        <f t="shared" si="22"/>
        <v>-3</v>
      </c>
      <c r="AG14" s="169">
        <f t="shared" si="23"/>
        <v>17</v>
      </c>
      <c r="AH14" s="23" t="str">
        <f t="shared" si="24"/>
        <v>▲</v>
      </c>
      <c r="AI14" s="215">
        <f t="shared" si="25"/>
        <v>7</v>
      </c>
      <c r="AJ14" s="169">
        <f t="shared" si="26"/>
        <v>46</v>
      </c>
      <c r="AK14" s="23" t="str">
        <f t="shared" si="27"/>
        <v>▼</v>
      </c>
      <c r="AL14" s="215">
        <f t="shared" si="28"/>
        <v>-29</v>
      </c>
      <c r="AM14" s="169">
        <f t="shared" si="29"/>
        <v>46</v>
      </c>
      <c r="AN14" s="23" t="str">
        <f t="shared" si="30"/>
        <v>▼</v>
      </c>
      <c r="AO14" s="215">
        <f t="shared" si="31"/>
        <v>-9</v>
      </c>
      <c r="AP14" s="169">
        <f t="shared" si="32"/>
        <v>18</v>
      </c>
      <c r="AQ14" s="23" t="str">
        <f t="shared" si="33"/>
        <v>▲</v>
      </c>
      <c r="AR14" s="215">
        <f t="shared" si="34"/>
        <v>3</v>
      </c>
      <c r="AS14" s="169">
        <f t="shared" si="35"/>
        <v>53</v>
      </c>
      <c r="AT14" s="23" t="str">
        <f t="shared" si="36"/>
        <v>▲</v>
      </c>
      <c r="AU14" s="215">
        <f t="shared" si="37"/>
        <v>23</v>
      </c>
      <c r="AV14" s="169">
        <f t="shared" si="38"/>
        <v>0</v>
      </c>
      <c r="AW14" s="23" t="str">
        <f t="shared" si="39"/>
        <v/>
      </c>
      <c r="AX14" s="215">
        <f t="shared" si="40"/>
        <v>0</v>
      </c>
      <c r="AY14" s="169">
        <f t="shared" si="41"/>
        <v>100</v>
      </c>
      <c r="AZ14" s="23" t="str">
        <f t="shared" si="42"/>
        <v/>
      </c>
      <c r="BA14" s="215">
        <f t="shared" si="43"/>
        <v>0</v>
      </c>
      <c r="BB14" s="169">
        <f t="shared" si="44"/>
        <v>89</v>
      </c>
      <c r="BC14" s="23" t="str">
        <f t="shared" si="45"/>
        <v>▼</v>
      </c>
      <c r="BD14" s="215">
        <f t="shared" si="46"/>
        <v>-3</v>
      </c>
      <c r="BE14" s="169">
        <f t="shared" si="47"/>
        <v>3</v>
      </c>
      <c r="BF14" s="23" t="str">
        <f t="shared" si="48"/>
        <v>▼</v>
      </c>
      <c r="BG14" s="215">
        <f t="shared" si="49"/>
        <v>-2</v>
      </c>
      <c r="BH14" s="169">
        <f t="shared" si="50"/>
        <v>0</v>
      </c>
      <c r="BI14" s="23" t="str">
        <f t="shared" si="51"/>
        <v/>
      </c>
      <c r="BJ14" s="215">
        <f t="shared" si="52"/>
        <v>0</v>
      </c>
      <c r="BY14" s="33"/>
      <c r="BZ14" s="33"/>
      <c r="CA14" s="33"/>
      <c r="CB14" s="33"/>
      <c r="CC14" s="33"/>
      <c r="CD14" s="33"/>
      <c r="CE14" s="33"/>
      <c r="CF14" s="33"/>
      <c r="CV14" s="33"/>
      <c r="CW14" s="33"/>
      <c r="CX14" s="33"/>
      <c r="CY14" s="33"/>
      <c r="CZ14" s="33"/>
      <c r="DA14" s="33"/>
      <c r="DB14" s="33"/>
      <c r="DC14" s="33"/>
      <c r="DD14" s="33"/>
      <c r="DE14" s="33"/>
      <c r="DF14" s="33"/>
      <c r="DG14" s="33"/>
      <c r="DH14" s="33"/>
      <c r="DL14" s="64" t="s">
        <v>65</v>
      </c>
      <c r="DM14" s="30" t="str">
        <f t="shared" si="53"/>
        <v>BMW</v>
      </c>
      <c r="DN14" s="39">
        <f t="shared" si="54"/>
        <v>17</v>
      </c>
      <c r="DO14" s="40">
        <f t="shared" si="55"/>
        <v>55</v>
      </c>
      <c r="DP14" s="51">
        <f t="shared" si="56"/>
        <v>36</v>
      </c>
      <c r="DQ14" s="486" t="s">
        <v>87</v>
      </c>
      <c r="DR14" s="70"/>
      <c r="DS14" s="8" t="s">
        <v>72</v>
      </c>
      <c r="DT14" s="30" t="str">
        <f t="shared" si="57"/>
        <v>Geely</v>
      </c>
      <c r="DU14" s="39">
        <f t="shared" si="58"/>
        <v>37</v>
      </c>
      <c r="DV14" s="39">
        <f t="shared" si="59"/>
        <v>35</v>
      </c>
      <c r="DW14" s="39">
        <f t="shared" si="60"/>
        <v>51</v>
      </c>
      <c r="DX14" s="39">
        <f t="shared" si="61"/>
        <v>7</v>
      </c>
      <c r="DY14" s="39">
        <f t="shared" si="62"/>
        <v>98</v>
      </c>
      <c r="DZ14" s="51">
        <f t="shared" si="63"/>
        <v>46</v>
      </c>
      <c r="EA14" s="485"/>
      <c r="EC14" s="8" t="s">
        <v>76</v>
      </c>
      <c r="ED14" s="30" t="str">
        <f t="shared" si="64"/>
        <v>Chang'an</v>
      </c>
      <c r="EE14" s="39">
        <f t="shared" si="65"/>
        <v>73</v>
      </c>
      <c r="EF14" s="39">
        <f t="shared" si="66"/>
        <v>36</v>
      </c>
      <c r="EG14" s="39">
        <f t="shared" si="67"/>
        <v>0</v>
      </c>
      <c r="EH14" s="31">
        <f t="shared" si="68"/>
        <v>36</v>
      </c>
      <c r="EI14" s="473"/>
      <c r="EU14" s="37"/>
      <c r="EX14" s="33"/>
      <c r="EY14" s="33"/>
      <c r="EZ14" s="37"/>
      <c r="FA14" s="33"/>
      <c r="FB14" s="33"/>
      <c r="FC14" s="33"/>
      <c r="FD14" s="33"/>
      <c r="FE14" s="33"/>
      <c r="FF14" s="37"/>
      <c r="FG14" s="33"/>
      <c r="FH14" s="33"/>
      <c r="FI14" s="33"/>
      <c r="FJ14" s="37"/>
    </row>
    <row r="15" spans="1:166" ht="18" customHeight="1">
      <c r="A15" s="167" t="s">
        <v>88</v>
      </c>
      <c r="B15" s="30" t="str">
        <f t="shared" si="0"/>
        <v>Ford</v>
      </c>
      <c r="C15" s="31">
        <f t="shared" si="1"/>
        <v>17</v>
      </c>
      <c r="D15" s="31">
        <f t="shared" si="1"/>
        <v>53</v>
      </c>
      <c r="E15" s="31">
        <f t="shared" si="1"/>
        <v>34</v>
      </c>
      <c r="F15" s="35">
        <f t="shared" si="2"/>
        <v>34.422222222222217</v>
      </c>
      <c r="G15" s="491"/>
      <c r="I15" s="21" t="s">
        <v>88</v>
      </c>
      <c r="J15" s="176" t="str">
        <f t="shared" si="3"/>
        <v>Ford</v>
      </c>
      <c r="K15" s="35">
        <f t="shared" si="4"/>
        <v>34.422222222222217</v>
      </c>
      <c r="L15" s="491"/>
      <c r="M15" s="110">
        <f t="shared" si="5"/>
        <v>4</v>
      </c>
      <c r="N15" s="110">
        <f t="shared" si="6"/>
        <v>30</v>
      </c>
      <c r="O15" s="31">
        <f t="shared" si="7"/>
        <v>17</v>
      </c>
      <c r="P15" s="110">
        <f t="shared" si="8"/>
        <v>23</v>
      </c>
      <c r="Q15" s="110">
        <f t="shared" si="9"/>
        <v>48</v>
      </c>
      <c r="R15" s="110">
        <f t="shared" si="10"/>
        <v>86</v>
      </c>
      <c r="S15" s="110">
        <f t="shared" si="11"/>
        <v>14</v>
      </c>
      <c r="T15" s="110">
        <f t="shared" si="12"/>
        <v>92</v>
      </c>
      <c r="U15" s="31">
        <f t="shared" si="13"/>
        <v>53</v>
      </c>
      <c r="V15" s="110">
        <f t="shared" si="14"/>
        <v>79</v>
      </c>
      <c r="W15" s="110">
        <f t="shared" si="15"/>
        <v>11</v>
      </c>
      <c r="X15" s="110">
        <f t="shared" si="16"/>
        <v>11</v>
      </c>
      <c r="Y15" s="31">
        <f t="shared" si="17"/>
        <v>34</v>
      </c>
      <c r="AA15" s="21" t="str">
        <f t="shared" si="18"/>
        <v>Ford</v>
      </c>
      <c r="AB15" s="30" t="str">
        <f t="shared" si="19"/>
        <v>Ford</v>
      </c>
      <c r="AC15" s="479"/>
      <c r="AD15" s="35">
        <f t="shared" si="20"/>
        <v>34.422222222222217</v>
      </c>
      <c r="AE15" s="23" t="str">
        <f t="shared" si="21"/>
        <v>▼</v>
      </c>
      <c r="AF15" s="215">
        <f t="shared" si="22"/>
        <v>-4</v>
      </c>
      <c r="AG15" s="169">
        <f t="shared" si="23"/>
        <v>4</v>
      </c>
      <c r="AH15" s="23" t="str">
        <f t="shared" si="24"/>
        <v/>
      </c>
      <c r="AI15" s="215">
        <f t="shared" si="25"/>
        <v>0</v>
      </c>
      <c r="AJ15" s="169">
        <f t="shared" si="26"/>
        <v>30</v>
      </c>
      <c r="AK15" s="23" t="str">
        <f t="shared" si="27"/>
        <v>▲</v>
      </c>
      <c r="AL15" s="215">
        <f t="shared" si="28"/>
        <v>5</v>
      </c>
      <c r="AM15" s="169">
        <f t="shared" si="29"/>
        <v>23</v>
      </c>
      <c r="AN15" s="23" t="str">
        <f t="shared" si="30"/>
        <v>▼</v>
      </c>
      <c r="AO15" s="215">
        <f t="shared" si="31"/>
        <v>-3</v>
      </c>
      <c r="AP15" s="169">
        <f t="shared" si="32"/>
        <v>48</v>
      </c>
      <c r="AQ15" s="23" t="str">
        <f t="shared" si="33"/>
        <v>▼</v>
      </c>
      <c r="AR15" s="215">
        <f t="shared" si="34"/>
        <v>-1</v>
      </c>
      <c r="AS15" s="169">
        <f t="shared" si="35"/>
        <v>86</v>
      </c>
      <c r="AT15" s="23" t="str">
        <f t="shared" si="36"/>
        <v>▼</v>
      </c>
      <c r="AU15" s="215">
        <f t="shared" si="37"/>
        <v>-9</v>
      </c>
      <c r="AV15" s="169">
        <f t="shared" si="38"/>
        <v>14</v>
      </c>
      <c r="AW15" s="23" t="str">
        <f t="shared" si="39"/>
        <v/>
      </c>
      <c r="AX15" s="215">
        <f t="shared" si="40"/>
        <v>0</v>
      </c>
      <c r="AY15" s="169">
        <f t="shared" si="41"/>
        <v>92</v>
      </c>
      <c r="AZ15" s="23" t="str">
        <f t="shared" si="42"/>
        <v>▲</v>
      </c>
      <c r="BA15" s="215">
        <f t="shared" si="43"/>
        <v>1</v>
      </c>
      <c r="BB15" s="169">
        <f t="shared" si="44"/>
        <v>79</v>
      </c>
      <c r="BC15" s="23" t="str">
        <f t="shared" si="45"/>
        <v>▼</v>
      </c>
      <c r="BD15" s="215">
        <f t="shared" si="46"/>
        <v>-17</v>
      </c>
      <c r="BE15" s="169">
        <f t="shared" si="47"/>
        <v>11</v>
      </c>
      <c r="BF15" s="23" t="str">
        <f t="shared" si="48"/>
        <v>▼</v>
      </c>
      <c r="BG15" s="215">
        <f t="shared" si="49"/>
        <v>-25</v>
      </c>
      <c r="BH15" s="169">
        <f t="shared" si="50"/>
        <v>11</v>
      </c>
      <c r="BI15" s="23" t="str">
        <f t="shared" si="51"/>
        <v>▲</v>
      </c>
      <c r="BJ15" s="215">
        <f t="shared" si="52"/>
        <v>11</v>
      </c>
      <c r="BY15" s="33"/>
      <c r="BZ15" s="33"/>
      <c r="CA15" s="33"/>
      <c r="CB15" s="33"/>
      <c r="CC15" s="33"/>
      <c r="CD15" s="33"/>
      <c r="CE15" s="33"/>
      <c r="CF15" s="33"/>
      <c r="CV15" s="33"/>
      <c r="CW15" s="33"/>
      <c r="CX15" s="33"/>
      <c r="CY15" s="33"/>
      <c r="CZ15" s="33"/>
      <c r="DA15" s="33"/>
      <c r="DB15" s="33"/>
      <c r="DC15" s="33"/>
      <c r="DD15" s="33"/>
      <c r="DE15" s="33"/>
      <c r="DF15" s="33"/>
      <c r="DG15" s="33"/>
      <c r="DH15" s="33"/>
      <c r="DL15" s="64" t="s">
        <v>71</v>
      </c>
      <c r="DM15" s="30" t="str">
        <f t="shared" si="53"/>
        <v>Mercedes-Benz</v>
      </c>
      <c r="DN15" s="39">
        <f t="shared" si="54"/>
        <v>15</v>
      </c>
      <c r="DO15" s="40">
        <f t="shared" si="55"/>
        <v>50</v>
      </c>
      <c r="DP15" s="51">
        <f t="shared" si="56"/>
        <v>33</v>
      </c>
      <c r="DQ15" s="486"/>
      <c r="DR15" s="70"/>
      <c r="DS15" s="8" t="s">
        <v>82</v>
      </c>
      <c r="DT15" s="30" t="str">
        <f t="shared" si="57"/>
        <v>Renault</v>
      </c>
      <c r="DU15" s="39">
        <f t="shared" si="58"/>
        <v>41</v>
      </c>
      <c r="DV15" s="39">
        <f t="shared" si="59"/>
        <v>15</v>
      </c>
      <c r="DW15" s="39">
        <f t="shared" si="60"/>
        <v>27</v>
      </c>
      <c r="DX15" s="39">
        <f t="shared" si="61"/>
        <v>0</v>
      </c>
      <c r="DY15" s="39">
        <f t="shared" si="62"/>
        <v>95</v>
      </c>
      <c r="DZ15" s="51">
        <f t="shared" si="63"/>
        <v>36</v>
      </c>
      <c r="EA15" s="485"/>
      <c r="EC15" s="8" t="s">
        <v>89</v>
      </c>
      <c r="ED15" s="30" t="str">
        <f t="shared" si="64"/>
        <v>Honda</v>
      </c>
      <c r="EE15" s="39">
        <f t="shared" si="65"/>
        <v>67</v>
      </c>
      <c r="EF15" s="39">
        <f t="shared" si="66"/>
        <v>19</v>
      </c>
      <c r="EG15" s="39">
        <f t="shared" si="67"/>
        <v>0</v>
      </c>
      <c r="EH15" s="31">
        <f t="shared" si="68"/>
        <v>29</v>
      </c>
      <c r="EI15" s="474"/>
      <c r="EU15" s="37"/>
      <c r="EX15" s="33"/>
      <c r="EY15" s="33"/>
      <c r="EZ15" s="37"/>
      <c r="FA15" s="33"/>
      <c r="FB15" s="33"/>
      <c r="FC15" s="33"/>
      <c r="FD15" s="33"/>
      <c r="FE15" s="33"/>
      <c r="FF15" s="37"/>
      <c r="FG15" s="33"/>
      <c r="FH15" s="33"/>
      <c r="FI15" s="33"/>
      <c r="FJ15" s="37"/>
    </row>
    <row r="16" spans="1:166" ht="18" customHeight="1">
      <c r="A16" s="167" t="s">
        <v>90</v>
      </c>
      <c r="B16" s="30" t="str">
        <f t="shared" si="0"/>
        <v>Chery</v>
      </c>
      <c r="C16" s="31">
        <f t="shared" si="1"/>
        <v>48</v>
      </c>
      <c r="D16" s="31">
        <f t="shared" si="1"/>
        <v>31</v>
      </c>
      <c r="E16" s="31">
        <f t="shared" si="1"/>
        <v>25</v>
      </c>
      <c r="F16" s="35">
        <f t="shared" si="2"/>
        <v>34.43333333333333</v>
      </c>
      <c r="G16" s="492"/>
      <c r="I16" s="21" t="s">
        <v>90</v>
      </c>
      <c r="J16" s="176" t="str">
        <f t="shared" si="3"/>
        <v>Chery</v>
      </c>
      <c r="K16" s="35">
        <f t="shared" si="4"/>
        <v>34.43333333333333</v>
      </c>
      <c r="L16" s="491"/>
      <c r="M16" s="110">
        <f t="shared" si="5"/>
        <v>17</v>
      </c>
      <c r="N16" s="110">
        <f t="shared" si="6"/>
        <v>78</v>
      </c>
      <c r="O16" s="31">
        <f t="shared" si="7"/>
        <v>48</v>
      </c>
      <c r="P16" s="110">
        <f t="shared" si="8"/>
        <v>46</v>
      </c>
      <c r="Q16" s="110">
        <f t="shared" si="9"/>
        <v>4</v>
      </c>
      <c r="R16" s="110">
        <f t="shared" si="10"/>
        <v>4</v>
      </c>
      <c r="S16" s="110">
        <f t="shared" si="11"/>
        <v>0</v>
      </c>
      <c r="T16" s="110">
        <f t="shared" si="12"/>
        <v>100</v>
      </c>
      <c r="U16" s="31">
        <f t="shared" si="13"/>
        <v>31</v>
      </c>
      <c r="V16" s="110">
        <f t="shared" si="14"/>
        <v>58</v>
      </c>
      <c r="W16" s="110">
        <f t="shared" si="15"/>
        <v>17</v>
      </c>
      <c r="X16" s="110">
        <f t="shared" si="16"/>
        <v>0</v>
      </c>
      <c r="Y16" s="31">
        <f t="shared" si="17"/>
        <v>25</v>
      </c>
      <c r="AA16" s="21" t="str">
        <f t="shared" si="18"/>
        <v>Chery</v>
      </c>
      <c r="AB16" s="30" t="str">
        <f t="shared" si="19"/>
        <v>Chery</v>
      </c>
      <c r="AC16" s="479"/>
      <c r="AD16" s="35">
        <f t="shared" si="20"/>
        <v>34.43333333333333</v>
      </c>
      <c r="AE16" s="23" t="str">
        <f t="shared" si="21"/>
        <v/>
      </c>
      <c r="AF16" s="215"/>
      <c r="AG16" s="169">
        <f t="shared" si="23"/>
        <v>17</v>
      </c>
      <c r="AH16" s="23"/>
      <c r="AI16" s="215"/>
      <c r="AJ16" s="169">
        <f t="shared" si="26"/>
        <v>78</v>
      </c>
      <c r="AK16" s="23"/>
      <c r="AL16" s="215"/>
      <c r="AM16" s="169">
        <f t="shared" si="29"/>
        <v>46</v>
      </c>
      <c r="AN16" s="23"/>
      <c r="AO16" s="215"/>
      <c r="AP16" s="169">
        <f t="shared" si="32"/>
        <v>4</v>
      </c>
      <c r="AQ16" s="23"/>
      <c r="AR16" s="215"/>
      <c r="AS16" s="169">
        <f t="shared" si="35"/>
        <v>4</v>
      </c>
      <c r="AT16" s="23"/>
      <c r="AU16" s="215"/>
      <c r="AV16" s="169">
        <f t="shared" si="38"/>
        <v>0</v>
      </c>
      <c r="AW16" s="23"/>
      <c r="AX16" s="215"/>
      <c r="AY16" s="169">
        <f t="shared" si="41"/>
        <v>100</v>
      </c>
      <c r="AZ16" s="23"/>
      <c r="BA16" s="215"/>
      <c r="BB16" s="169">
        <f t="shared" si="44"/>
        <v>58</v>
      </c>
      <c r="BC16" s="23"/>
      <c r="BD16" s="215"/>
      <c r="BE16" s="169">
        <f t="shared" si="47"/>
        <v>17</v>
      </c>
      <c r="BF16" s="23"/>
      <c r="BG16" s="215"/>
      <c r="BH16" s="169">
        <f t="shared" si="50"/>
        <v>0</v>
      </c>
      <c r="BI16" s="23"/>
      <c r="BJ16" s="215"/>
      <c r="BY16" s="33"/>
      <c r="BZ16" s="33"/>
      <c r="CA16" s="33"/>
      <c r="CB16" s="33"/>
      <c r="CC16" s="33"/>
      <c r="CD16" s="33"/>
      <c r="CE16" s="33"/>
      <c r="CF16" s="33"/>
      <c r="CV16" s="33"/>
      <c r="CW16" s="33"/>
      <c r="CX16" s="33"/>
      <c r="CY16" s="33"/>
      <c r="CZ16" s="33"/>
      <c r="DA16" s="33"/>
      <c r="DB16" s="33"/>
      <c r="DC16" s="33"/>
      <c r="DD16" s="33"/>
      <c r="DE16" s="33"/>
      <c r="DF16" s="33"/>
      <c r="DG16" s="33"/>
      <c r="DH16" s="33"/>
      <c r="DL16" s="64" t="s">
        <v>91</v>
      </c>
      <c r="DM16" s="30" t="str">
        <f t="shared" si="53"/>
        <v>Nissan</v>
      </c>
      <c r="DN16" s="39">
        <f t="shared" si="54"/>
        <v>5</v>
      </c>
      <c r="DO16" s="40">
        <f t="shared" si="55"/>
        <v>28</v>
      </c>
      <c r="DP16" s="51">
        <f t="shared" si="56"/>
        <v>17</v>
      </c>
      <c r="DQ16" s="486"/>
      <c r="DR16" s="70"/>
      <c r="DS16" s="8" t="s">
        <v>74</v>
      </c>
      <c r="DT16" s="30" t="str">
        <f t="shared" si="57"/>
        <v>Stellantis</v>
      </c>
      <c r="DU16" s="39">
        <f t="shared" si="58"/>
        <v>31</v>
      </c>
      <c r="DV16" s="39">
        <f t="shared" si="59"/>
        <v>31</v>
      </c>
      <c r="DW16" s="39">
        <f t="shared" si="60"/>
        <v>35</v>
      </c>
      <c r="DX16" s="39">
        <f t="shared" si="61"/>
        <v>0</v>
      </c>
      <c r="DY16" s="39">
        <f t="shared" si="62"/>
        <v>99</v>
      </c>
      <c r="DZ16" s="51">
        <f t="shared" si="63"/>
        <v>39</v>
      </c>
      <c r="EA16" s="485"/>
      <c r="EC16" s="8" t="s">
        <v>79</v>
      </c>
      <c r="ED16" s="30" t="str">
        <f t="shared" si="64"/>
        <v>Tata Motors</v>
      </c>
      <c r="EE16" s="39">
        <f t="shared" si="65"/>
        <v>71</v>
      </c>
      <c r="EF16" s="39">
        <f t="shared" si="66"/>
        <v>20</v>
      </c>
      <c r="EG16" s="39">
        <f t="shared" si="67"/>
        <v>4</v>
      </c>
      <c r="EH16" s="31">
        <f t="shared" si="68"/>
        <v>32</v>
      </c>
      <c r="EI16" s="481" t="s">
        <v>87</v>
      </c>
      <c r="EU16" s="37"/>
      <c r="EX16" s="33"/>
      <c r="EY16" s="33"/>
      <c r="EZ16" s="37"/>
      <c r="FA16" s="33"/>
      <c r="FB16" s="33"/>
      <c r="FC16" s="33"/>
      <c r="FD16" s="33"/>
      <c r="FE16" s="33"/>
      <c r="FF16" s="37"/>
      <c r="FG16" s="33"/>
      <c r="FH16" s="33"/>
      <c r="FI16" s="33"/>
      <c r="FJ16" s="37"/>
    </row>
    <row r="17" spans="1:166" ht="18" customHeight="1">
      <c r="A17" s="167" t="s">
        <v>92</v>
      </c>
      <c r="B17" s="30" t="str">
        <f t="shared" si="0"/>
        <v>Hyundai-Kia</v>
      </c>
      <c r="C17" s="31">
        <f t="shared" si="1"/>
        <v>19</v>
      </c>
      <c r="D17" s="31">
        <f t="shared" si="1"/>
        <v>57</v>
      </c>
      <c r="E17" s="31">
        <f t="shared" si="1"/>
        <v>25</v>
      </c>
      <c r="F17" s="35">
        <f t="shared" si="2"/>
        <v>33.633333333333333</v>
      </c>
      <c r="G17" s="488" t="s">
        <v>87</v>
      </c>
      <c r="I17" s="21" t="s">
        <v>92</v>
      </c>
      <c r="J17" s="176" t="str">
        <f t="shared" si="3"/>
        <v>Hyundai-Kia</v>
      </c>
      <c r="K17" s="35">
        <f t="shared" si="4"/>
        <v>33.633333333333333</v>
      </c>
      <c r="L17" s="491"/>
      <c r="M17" s="110">
        <f t="shared" si="5"/>
        <v>7</v>
      </c>
      <c r="N17" s="110">
        <f t="shared" si="6"/>
        <v>30</v>
      </c>
      <c r="O17" s="31">
        <f t="shared" si="7"/>
        <v>19</v>
      </c>
      <c r="P17" s="110">
        <f t="shared" si="8"/>
        <v>26</v>
      </c>
      <c r="Q17" s="110">
        <f t="shared" si="9"/>
        <v>79</v>
      </c>
      <c r="R17" s="110">
        <f t="shared" si="10"/>
        <v>71</v>
      </c>
      <c r="S17" s="110">
        <f t="shared" si="11"/>
        <v>11</v>
      </c>
      <c r="T17" s="110">
        <f t="shared" si="12"/>
        <v>100</v>
      </c>
      <c r="U17" s="31">
        <f t="shared" si="13"/>
        <v>57</v>
      </c>
      <c r="V17" s="110">
        <f t="shared" si="14"/>
        <v>54</v>
      </c>
      <c r="W17" s="110">
        <f t="shared" si="15"/>
        <v>21</v>
      </c>
      <c r="X17" s="110">
        <f t="shared" si="16"/>
        <v>0</v>
      </c>
      <c r="Y17" s="31">
        <f t="shared" si="17"/>
        <v>25</v>
      </c>
      <c r="AA17" s="21" t="str">
        <f t="shared" si="18"/>
        <v>Hyundai Kia</v>
      </c>
      <c r="AB17" s="30" t="str">
        <f t="shared" si="19"/>
        <v>Hyundai-Kia</v>
      </c>
      <c r="AC17" s="479"/>
      <c r="AD17" s="35">
        <f t="shared" si="20"/>
        <v>33.633333333333333</v>
      </c>
      <c r="AE17" s="23" t="str">
        <f t="shared" si="21"/>
        <v>▼</v>
      </c>
      <c r="AF17" s="215">
        <f t="shared" ref="AF17:AF23" si="69">M41</f>
        <v>-4</v>
      </c>
      <c r="AG17" s="169">
        <f t="shared" si="23"/>
        <v>7</v>
      </c>
      <c r="AH17" s="23" t="str">
        <f t="shared" ref="AH17:AH23" si="70">IF(N41&gt;0,"▲",IF(N41&lt;0,"▼",""))</f>
        <v>▼</v>
      </c>
      <c r="AI17" s="215">
        <f t="shared" ref="AI17:AI23" si="71">N41</f>
        <v>-1</v>
      </c>
      <c r="AJ17" s="169">
        <f t="shared" si="26"/>
        <v>30</v>
      </c>
      <c r="AK17" s="23" t="str">
        <f t="shared" ref="AK17:AK23" si="72">IF(O41&gt;0,"▲",IF(O41&lt;0,"▼",""))</f>
        <v>▼</v>
      </c>
      <c r="AL17" s="215">
        <f t="shared" ref="AL17:AL23" si="73">O41</f>
        <v>-33</v>
      </c>
      <c r="AM17" s="169">
        <f t="shared" si="29"/>
        <v>26</v>
      </c>
      <c r="AN17" s="23" t="str">
        <f t="shared" ref="AN17:AN22" si="74">IF(P41&gt;0,"▲",IF(P41&lt;0,"▼",""))</f>
        <v>▼</v>
      </c>
      <c r="AO17" s="215">
        <f t="shared" ref="AO17:AO22" si="75">P41</f>
        <v>-6</v>
      </c>
      <c r="AP17" s="169">
        <f t="shared" si="32"/>
        <v>79</v>
      </c>
      <c r="AQ17" s="23" t="str">
        <f t="shared" ref="AQ17:AQ22" si="76">IF(Q41&gt;0,"▲",IF(Q41&lt;0,"▼",""))</f>
        <v>▲</v>
      </c>
      <c r="AR17" s="215">
        <f t="shared" ref="AR17:AR22" si="77">Q41</f>
        <v>4</v>
      </c>
      <c r="AS17" s="169">
        <f t="shared" si="35"/>
        <v>71</v>
      </c>
      <c r="AT17" s="23" t="str">
        <f t="shared" ref="AT17:AT22" si="78">IF(R41&gt;0,"▲",IF(R41&lt;0,"▼",""))</f>
        <v>▼</v>
      </c>
      <c r="AU17" s="215">
        <f t="shared" ref="AU17:AU22" si="79">R41</f>
        <v>-2</v>
      </c>
      <c r="AV17" s="169">
        <f t="shared" si="38"/>
        <v>11</v>
      </c>
      <c r="AW17" s="23" t="str">
        <f t="shared" ref="AW17:AW23" si="80">IF(S41&gt;0,"▲",IF(S41&lt;0,"▼",""))</f>
        <v/>
      </c>
      <c r="AX17" s="215">
        <f t="shared" ref="AX17:AX23" si="81">S41</f>
        <v>0</v>
      </c>
      <c r="AY17" s="169">
        <f t="shared" si="41"/>
        <v>100</v>
      </c>
      <c r="AZ17" s="23" t="str">
        <f t="shared" ref="AZ17:AZ23" si="82">IF(T41&gt;0,"▲",IF(T41&lt;0,"▼",""))</f>
        <v/>
      </c>
      <c r="BA17" s="215">
        <f t="shared" ref="BA17:BA23" si="83">T41</f>
        <v>0</v>
      </c>
      <c r="BB17" s="169">
        <f t="shared" si="44"/>
        <v>54</v>
      </c>
      <c r="BC17" s="23" t="str">
        <f t="shared" ref="BC17:BC23" si="84">IF(U41&gt;0,"▲",IF(U41&lt;0,"▼",""))</f>
        <v>▲</v>
      </c>
      <c r="BD17" s="215">
        <f t="shared" ref="BD17:BD23" si="85">U41</f>
        <v>15</v>
      </c>
      <c r="BE17" s="169">
        <f t="shared" si="47"/>
        <v>21</v>
      </c>
      <c r="BF17" s="23" t="str">
        <f t="shared" ref="BF17:BF23" si="86">IF(V41&gt;0,"▲",IF(V41&lt;0,"▼",""))</f>
        <v>▲</v>
      </c>
      <c r="BG17" s="215">
        <f t="shared" ref="BG17:BG23" si="87">V41</f>
        <v>1</v>
      </c>
      <c r="BH17" s="169">
        <f t="shared" si="50"/>
        <v>0</v>
      </c>
      <c r="BI17" s="23" t="str">
        <f t="shared" ref="BI17:BI23" si="88">IF(W41&gt;0,"▲",IF(W41&lt;0,"▼",""))</f>
        <v/>
      </c>
      <c r="BJ17" s="215">
        <f t="shared" ref="BJ17:BJ23" si="89">W41</f>
        <v>0</v>
      </c>
      <c r="BY17" s="33"/>
      <c r="BZ17" s="33"/>
      <c r="CA17" s="33"/>
      <c r="CB17" s="33"/>
      <c r="CC17" s="33"/>
      <c r="CD17" s="33"/>
      <c r="CE17" s="33"/>
      <c r="CF17" s="33"/>
      <c r="CV17" s="33"/>
      <c r="CW17" s="33"/>
      <c r="CX17" s="33"/>
      <c r="CY17" s="33"/>
      <c r="CZ17" s="33"/>
      <c r="DA17" s="33"/>
      <c r="DB17" s="33"/>
      <c r="DC17" s="33"/>
      <c r="DD17" s="33"/>
      <c r="DE17" s="33"/>
      <c r="DF17" s="33"/>
      <c r="DG17" s="33"/>
      <c r="DH17" s="33"/>
      <c r="DL17" s="64" t="s">
        <v>79</v>
      </c>
      <c r="DM17" s="30" t="str">
        <f t="shared" si="53"/>
        <v>Tata Motors</v>
      </c>
      <c r="DN17" s="39">
        <f t="shared" si="54"/>
        <v>8</v>
      </c>
      <c r="DO17" s="40">
        <f t="shared" si="55"/>
        <v>23</v>
      </c>
      <c r="DP17" s="51">
        <f t="shared" si="56"/>
        <v>16</v>
      </c>
      <c r="DQ17" s="486"/>
      <c r="DR17" s="70"/>
      <c r="DS17" s="8" t="s">
        <v>68</v>
      </c>
      <c r="DT17" s="30" t="str">
        <f t="shared" si="57"/>
        <v>SAIC</v>
      </c>
      <c r="DU17" s="39">
        <f t="shared" si="58"/>
        <v>56</v>
      </c>
      <c r="DV17" s="39">
        <f t="shared" si="59"/>
        <v>13</v>
      </c>
      <c r="DW17" s="39">
        <f t="shared" si="60"/>
        <v>26</v>
      </c>
      <c r="DX17" s="39">
        <f t="shared" si="61"/>
        <v>0</v>
      </c>
      <c r="DY17" s="39">
        <f t="shared" si="62"/>
        <v>83</v>
      </c>
      <c r="DZ17" s="51">
        <f t="shared" si="63"/>
        <v>36</v>
      </c>
      <c r="EA17" s="486" t="s">
        <v>87</v>
      </c>
      <c r="EC17" s="8" t="s">
        <v>91</v>
      </c>
      <c r="ED17" s="30" t="str">
        <f t="shared" si="64"/>
        <v>Nissan</v>
      </c>
      <c r="EE17" s="39">
        <f t="shared" si="65"/>
        <v>0</v>
      </c>
      <c r="EF17" s="39">
        <f t="shared" si="66"/>
        <v>9</v>
      </c>
      <c r="EG17" s="39">
        <f t="shared" si="67"/>
        <v>5</v>
      </c>
      <c r="EH17" s="31">
        <f t="shared" si="68"/>
        <v>5</v>
      </c>
      <c r="EI17" s="482"/>
      <c r="EU17" s="37"/>
      <c r="EX17" s="33"/>
      <c r="EY17" s="33"/>
      <c r="EZ17" s="37"/>
      <c r="FA17" s="33"/>
      <c r="FB17" s="33"/>
      <c r="FC17" s="33"/>
      <c r="FD17" s="33"/>
      <c r="FE17" s="33"/>
      <c r="FF17" s="37"/>
      <c r="FG17" s="33"/>
      <c r="FH17" s="33"/>
      <c r="FI17" s="33"/>
      <c r="FJ17" s="37"/>
    </row>
    <row r="18" spans="1:166" ht="18" customHeight="1">
      <c r="A18" s="167" t="s">
        <v>79</v>
      </c>
      <c r="B18" s="30" t="str">
        <f t="shared" si="0"/>
        <v>Tata Motors</v>
      </c>
      <c r="C18" s="31">
        <f t="shared" si="1"/>
        <v>16</v>
      </c>
      <c r="D18" s="31">
        <f t="shared" si="1"/>
        <v>47</v>
      </c>
      <c r="E18" s="31">
        <f t="shared" si="1"/>
        <v>32</v>
      </c>
      <c r="F18" s="35">
        <f t="shared" si="2"/>
        <v>31.388888888888889</v>
      </c>
      <c r="G18" s="489"/>
      <c r="I18" s="21" t="s">
        <v>79</v>
      </c>
      <c r="J18" s="176" t="str">
        <f t="shared" si="3"/>
        <v>Tata Motors</v>
      </c>
      <c r="K18" s="35">
        <f t="shared" si="4"/>
        <v>31.388888888888889</v>
      </c>
      <c r="L18" s="489" t="s">
        <v>87</v>
      </c>
      <c r="M18" s="110">
        <f t="shared" si="5"/>
        <v>8</v>
      </c>
      <c r="N18" s="110">
        <f t="shared" si="6"/>
        <v>23</v>
      </c>
      <c r="O18" s="31">
        <f t="shared" si="7"/>
        <v>16</v>
      </c>
      <c r="P18" s="110">
        <f t="shared" si="8"/>
        <v>100</v>
      </c>
      <c r="Q18" s="110">
        <f t="shared" si="9"/>
        <v>5</v>
      </c>
      <c r="R18" s="110">
        <f t="shared" si="10"/>
        <v>42</v>
      </c>
      <c r="S18" s="110">
        <f t="shared" si="11"/>
        <v>7</v>
      </c>
      <c r="T18" s="110">
        <f t="shared" si="12"/>
        <v>81</v>
      </c>
      <c r="U18" s="31">
        <f t="shared" si="13"/>
        <v>47</v>
      </c>
      <c r="V18" s="110">
        <f t="shared" si="14"/>
        <v>71</v>
      </c>
      <c r="W18" s="110">
        <f t="shared" si="15"/>
        <v>20</v>
      </c>
      <c r="X18" s="110">
        <f t="shared" si="16"/>
        <v>4</v>
      </c>
      <c r="Y18" s="31">
        <f t="shared" si="17"/>
        <v>32</v>
      </c>
      <c r="AA18" s="21" t="str">
        <f t="shared" si="18"/>
        <v>Tata Motors</v>
      </c>
      <c r="AB18" s="30" t="str">
        <f t="shared" si="19"/>
        <v>Tata Motors</v>
      </c>
      <c r="AC18" s="480" t="s">
        <v>93</v>
      </c>
      <c r="AD18" s="35">
        <f t="shared" si="20"/>
        <v>31.388888888888889</v>
      </c>
      <c r="AE18" s="23" t="str">
        <f t="shared" si="21"/>
        <v>▲</v>
      </c>
      <c r="AF18" s="215">
        <f t="shared" si="69"/>
        <v>4</v>
      </c>
      <c r="AG18" s="169">
        <f t="shared" si="23"/>
        <v>8</v>
      </c>
      <c r="AH18" s="23" t="str">
        <f t="shared" si="70"/>
        <v>▲</v>
      </c>
      <c r="AI18" s="215">
        <f t="shared" si="71"/>
        <v>2</v>
      </c>
      <c r="AJ18" s="169">
        <f t="shared" si="26"/>
        <v>23</v>
      </c>
      <c r="AK18" s="23" t="str">
        <f t="shared" si="72"/>
        <v>▼</v>
      </c>
      <c r="AL18" s="215">
        <f t="shared" si="73"/>
        <v>-2</v>
      </c>
      <c r="AM18" s="169">
        <f t="shared" si="29"/>
        <v>100</v>
      </c>
      <c r="AN18" s="23" t="str">
        <f t="shared" si="74"/>
        <v>▲</v>
      </c>
      <c r="AO18" s="215">
        <f t="shared" si="75"/>
        <v>13</v>
      </c>
      <c r="AP18" s="169">
        <f t="shared" si="32"/>
        <v>5</v>
      </c>
      <c r="AQ18" s="23" t="str">
        <f t="shared" si="76"/>
        <v>▲</v>
      </c>
      <c r="AR18" s="215">
        <f t="shared" si="77"/>
        <v>2</v>
      </c>
      <c r="AS18" s="169">
        <f t="shared" si="35"/>
        <v>42</v>
      </c>
      <c r="AT18" s="23" t="str">
        <f t="shared" si="78"/>
        <v>▲</v>
      </c>
      <c r="AU18" s="215">
        <f t="shared" si="79"/>
        <v>21</v>
      </c>
      <c r="AV18" s="169">
        <f t="shared" si="38"/>
        <v>7</v>
      </c>
      <c r="AW18" s="23" t="str">
        <f t="shared" si="80"/>
        <v>▲</v>
      </c>
      <c r="AX18" s="215">
        <f t="shared" si="81"/>
        <v>1</v>
      </c>
      <c r="AY18" s="169">
        <f t="shared" si="41"/>
        <v>81</v>
      </c>
      <c r="AZ18" s="23" t="str">
        <f t="shared" si="82"/>
        <v>▼</v>
      </c>
      <c r="BA18" s="215">
        <f t="shared" si="83"/>
        <v>-6</v>
      </c>
      <c r="BB18" s="169">
        <f t="shared" si="44"/>
        <v>71</v>
      </c>
      <c r="BC18" s="23" t="str">
        <f t="shared" si="84"/>
        <v>▲</v>
      </c>
      <c r="BD18" s="215">
        <f t="shared" si="85"/>
        <v>19</v>
      </c>
      <c r="BE18" s="169">
        <f t="shared" si="47"/>
        <v>20</v>
      </c>
      <c r="BF18" s="23" t="str">
        <f t="shared" si="86"/>
        <v>▲</v>
      </c>
      <c r="BG18" s="215">
        <f t="shared" si="87"/>
        <v>2</v>
      </c>
      <c r="BH18" s="169">
        <f t="shared" si="50"/>
        <v>4</v>
      </c>
      <c r="BI18" s="23" t="str">
        <f t="shared" si="88"/>
        <v>▲</v>
      </c>
      <c r="BJ18" s="215">
        <f t="shared" si="89"/>
        <v>4</v>
      </c>
      <c r="BY18" s="33"/>
      <c r="BZ18" s="33"/>
      <c r="CA18" s="33"/>
      <c r="CB18" s="33"/>
      <c r="CC18" s="33"/>
      <c r="CD18" s="33"/>
      <c r="CE18" s="33"/>
      <c r="CF18" s="33"/>
      <c r="CV18" s="33"/>
      <c r="CW18" s="33"/>
      <c r="CX18" s="33"/>
      <c r="CY18" s="33"/>
      <c r="CZ18" s="33"/>
      <c r="DA18" s="33"/>
      <c r="DB18" s="33"/>
      <c r="DC18" s="33"/>
      <c r="DD18" s="33"/>
      <c r="DE18" s="33"/>
      <c r="DF18" s="33"/>
      <c r="DG18" s="33"/>
      <c r="DH18" s="33"/>
      <c r="DL18" s="64" t="s">
        <v>70</v>
      </c>
      <c r="DM18" s="30" t="str">
        <f t="shared" si="53"/>
        <v>GM</v>
      </c>
      <c r="DN18" s="39">
        <f t="shared" si="54"/>
        <v>4</v>
      </c>
      <c r="DO18" s="40">
        <f t="shared" si="55"/>
        <v>19</v>
      </c>
      <c r="DP18" s="51">
        <f t="shared" si="56"/>
        <v>12</v>
      </c>
      <c r="DQ18" s="486"/>
      <c r="DR18" s="70"/>
      <c r="DS18" s="8" t="s">
        <v>89</v>
      </c>
      <c r="DT18" s="30" t="str">
        <f t="shared" si="57"/>
        <v>Honda</v>
      </c>
      <c r="DU18" s="39">
        <f t="shared" si="58"/>
        <v>35</v>
      </c>
      <c r="DV18" s="39">
        <f t="shared" si="59"/>
        <v>26</v>
      </c>
      <c r="DW18" s="39">
        <f t="shared" si="60"/>
        <v>54</v>
      </c>
      <c r="DX18" s="39">
        <f t="shared" si="61"/>
        <v>0</v>
      </c>
      <c r="DY18" s="39">
        <f t="shared" si="62"/>
        <v>42</v>
      </c>
      <c r="DZ18" s="51">
        <f t="shared" si="63"/>
        <v>31</v>
      </c>
      <c r="EA18" s="486"/>
      <c r="EC18" s="8" t="s">
        <v>81</v>
      </c>
      <c r="ED18" s="30" t="str">
        <f t="shared" si="64"/>
        <v>Great Wall</v>
      </c>
      <c r="EE18" s="39">
        <f t="shared" si="65"/>
        <v>89</v>
      </c>
      <c r="EF18" s="39">
        <f t="shared" si="66"/>
        <v>3</v>
      </c>
      <c r="EG18" s="39">
        <f t="shared" si="67"/>
        <v>0</v>
      </c>
      <c r="EH18" s="31">
        <f t="shared" si="68"/>
        <v>31</v>
      </c>
      <c r="EI18" s="482"/>
      <c r="EU18" s="37"/>
      <c r="EX18" s="33"/>
      <c r="EY18" s="33"/>
      <c r="EZ18" s="37"/>
      <c r="FA18" s="33"/>
      <c r="FB18" s="33"/>
      <c r="FC18" s="33"/>
      <c r="FD18" s="33"/>
      <c r="FE18" s="33"/>
      <c r="FF18" s="37"/>
      <c r="FG18" s="33"/>
      <c r="FH18" s="33"/>
      <c r="FI18" s="33"/>
      <c r="FJ18" s="37"/>
    </row>
    <row r="19" spans="1:166" ht="18" customHeight="1">
      <c r="A19" s="167" t="s">
        <v>94</v>
      </c>
      <c r="B19" s="30" t="str">
        <f t="shared" si="0"/>
        <v>Toyota</v>
      </c>
      <c r="C19" s="31">
        <f t="shared" si="1"/>
        <v>15</v>
      </c>
      <c r="D19" s="31">
        <f t="shared" si="1"/>
        <v>50</v>
      </c>
      <c r="E19" s="31">
        <f t="shared" si="1"/>
        <v>19</v>
      </c>
      <c r="F19" s="35">
        <f t="shared" si="2"/>
        <v>28</v>
      </c>
      <c r="G19" s="489"/>
      <c r="I19" s="21" t="s">
        <v>77</v>
      </c>
      <c r="J19" s="176" t="str">
        <f t="shared" si="3"/>
        <v>Toyota</v>
      </c>
      <c r="K19" s="35">
        <f t="shared" si="4"/>
        <v>28</v>
      </c>
      <c r="L19" s="489"/>
      <c r="M19" s="110">
        <f t="shared" si="5"/>
        <v>2</v>
      </c>
      <c r="N19" s="110">
        <f t="shared" si="6"/>
        <v>28</v>
      </c>
      <c r="O19" s="31">
        <f t="shared" si="7"/>
        <v>15</v>
      </c>
      <c r="P19" s="110">
        <f t="shared" si="8"/>
        <v>71</v>
      </c>
      <c r="Q19" s="110">
        <f t="shared" si="9"/>
        <v>32</v>
      </c>
      <c r="R19" s="110">
        <f t="shared" si="10"/>
        <v>82</v>
      </c>
      <c r="S19" s="110">
        <f t="shared" si="11"/>
        <v>6</v>
      </c>
      <c r="T19" s="110">
        <f t="shared" si="12"/>
        <v>59</v>
      </c>
      <c r="U19" s="31">
        <f t="shared" si="13"/>
        <v>50</v>
      </c>
      <c r="V19" s="110">
        <f t="shared" si="14"/>
        <v>48</v>
      </c>
      <c r="W19" s="110">
        <f t="shared" si="15"/>
        <v>9</v>
      </c>
      <c r="X19" s="110">
        <f t="shared" si="16"/>
        <v>0</v>
      </c>
      <c r="Y19" s="31">
        <f t="shared" si="17"/>
        <v>19</v>
      </c>
      <c r="AA19" s="21" t="str">
        <f t="shared" si="18"/>
        <v>Toyota</v>
      </c>
      <c r="AB19" s="30" t="str">
        <f t="shared" si="19"/>
        <v>Toyota</v>
      </c>
      <c r="AC19" s="480"/>
      <c r="AD19" s="35">
        <f t="shared" si="20"/>
        <v>28</v>
      </c>
      <c r="AE19" s="23" t="str">
        <f t="shared" si="21"/>
        <v>▼</v>
      </c>
      <c r="AF19" s="215">
        <f t="shared" si="69"/>
        <v>-2</v>
      </c>
      <c r="AG19" s="169">
        <f t="shared" si="23"/>
        <v>2</v>
      </c>
      <c r="AH19" s="23" t="str">
        <f t="shared" si="70"/>
        <v>▲</v>
      </c>
      <c r="AI19" s="215">
        <f t="shared" si="71"/>
        <v>1</v>
      </c>
      <c r="AJ19" s="169">
        <f t="shared" si="26"/>
        <v>28</v>
      </c>
      <c r="AK19" s="23" t="str">
        <f t="shared" si="72"/>
        <v>▼</v>
      </c>
      <c r="AL19" s="215">
        <f t="shared" si="73"/>
        <v>-35</v>
      </c>
      <c r="AM19" s="169">
        <f t="shared" si="29"/>
        <v>71</v>
      </c>
      <c r="AN19" s="23" t="str">
        <f t="shared" si="74"/>
        <v>▲</v>
      </c>
      <c r="AO19" s="215">
        <f t="shared" si="75"/>
        <v>28</v>
      </c>
      <c r="AP19" s="169">
        <f t="shared" si="32"/>
        <v>32</v>
      </c>
      <c r="AQ19" s="23" t="str">
        <f t="shared" si="76"/>
        <v>▼</v>
      </c>
      <c r="AR19" s="215">
        <f t="shared" si="77"/>
        <v>-3</v>
      </c>
      <c r="AS19" s="169">
        <f t="shared" si="35"/>
        <v>82</v>
      </c>
      <c r="AT19" s="23" t="str">
        <f t="shared" si="78"/>
        <v>▲</v>
      </c>
      <c r="AU19" s="215">
        <f t="shared" si="79"/>
        <v>12</v>
      </c>
      <c r="AV19" s="169">
        <f t="shared" si="38"/>
        <v>6</v>
      </c>
      <c r="AW19" s="23" t="str">
        <f t="shared" si="80"/>
        <v/>
      </c>
      <c r="AX19" s="215">
        <f t="shared" si="81"/>
        <v>0</v>
      </c>
      <c r="AY19" s="169">
        <f t="shared" si="41"/>
        <v>59</v>
      </c>
      <c r="AZ19" s="23" t="str">
        <f t="shared" si="82"/>
        <v/>
      </c>
      <c r="BA19" s="215">
        <f t="shared" si="83"/>
        <v>0</v>
      </c>
      <c r="BB19" s="169">
        <f t="shared" si="44"/>
        <v>48</v>
      </c>
      <c r="BC19" s="23" t="str">
        <f t="shared" si="84"/>
        <v>▲</v>
      </c>
      <c r="BD19" s="215">
        <f t="shared" si="85"/>
        <v>9</v>
      </c>
      <c r="BE19" s="169">
        <f t="shared" si="47"/>
        <v>9</v>
      </c>
      <c r="BF19" s="23" t="str">
        <f t="shared" si="86"/>
        <v>▲</v>
      </c>
      <c r="BG19" s="215">
        <f t="shared" si="87"/>
        <v>2</v>
      </c>
      <c r="BH19" s="169">
        <f t="shared" si="50"/>
        <v>0</v>
      </c>
      <c r="BI19" s="23" t="str">
        <f t="shared" si="88"/>
        <v/>
      </c>
      <c r="BJ19" s="215">
        <f t="shared" si="89"/>
        <v>0</v>
      </c>
      <c r="BY19" s="33"/>
      <c r="BZ19" s="33"/>
      <c r="CA19" s="33"/>
      <c r="CB19" s="33"/>
      <c r="CC19" s="33"/>
      <c r="CD19" s="33"/>
      <c r="CE19" s="33"/>
      <c r="CF19" s="33"/>
      <c r="CV19" s="33"/>
      <c r="CW19" s="33"/>
      <c r="CX19" s="33"/>
      <c r="CY19" s="33"/>
      <c r="CZ19" s="33"/>
      <c r="DA19" s="33"/>
      <c r="DB19" s="33"/>
      <c r="DC19" s="33"/>
      <c r="DD19" s="33"/>
      <c r="DE19" s="33"/>
      <c r="DF19" s="33"/>
      <c r="DG19" s="33"/>
      <c r="DH19" s="33"/>
      <c r="DL19" s="64" t="s">
        <v>80</v>
      </c>
      <c r="DM19" s="30" t="str">
        <f t="shared" si="53"/>
        <v>Ford</v>
      </c>
      <c r="DN19" s="39">
        <f t="shared" si="54"/>
        <v>4</v>
      </c>
      <c r="DO19" s="40">
        <f t="shared" si="55"/>
        <v>30</v>
      </c>
      <c r="DP19" s="51">
        <f t="shared" si="56"/>
        <v>17</v>
      </c>
      <c r="DQ19" s="486"/>
      <c r="DR19" s="70"/>
      <c r="DS19" s="8" t="s">
        <v>76</v>
      </c>
      <c r="DT19" s="30" t="str">
        <f t="shared" si="57"/>
        <v>Chang'an</v>
      </c>
      <c r="DU19" s="39">
        <f t="shared" si="58"/>
        <v>39</v>
      </c>
      <c r="DV19" s="39">
        <f t="shared" si="59"/>
        <v>5</v>
      </c>
      <c r="DW19" s="39">
        <f t="shared" si="60"/>
        <v>21</v>
      </c>
      <c r="DX19" s="39">
        <f t="shared" si="61"/>
        <v>0</v>
      </c>
      <c r="DY19" s="39">
        <f t="shared" si="62"/>
        <v>100</v>
      </c>
      <c r="DZ19" s="51">
        <f t="shared" si="63"/>
        <v>33</v>
      </c>
      <c r="EA19" s="486"/>
      <c r="EC19" s="8" t="s">
        <v>77</v>
      </c>
      <c r="ED19" s="30" t="str">
        <f t="shared" si="64"/>
        <v>Toyota</v>
      </c>
      <c r="EE19" s="39">
        <f t="shared" si="65"/>
        <v>48</v>
      </c>
      <c r="EF19" s="39">
        <f t="shared" si="66"/>
        <v>9</v>
      </c>
      <c r="EG19" s="39">
        <f t="shared" si="67"/>
        <v>0</v>
      </c>
      <c r="EH19" s="31">
        <f t="shared" si="68"/>
        <v>19</v>
      </c>
      <c r="EI19" s="482"/>
      <c r="EU19" s="37"/>
      <c r="EX19" s="33"/>
      <c r="EY19" s="33"/>
      <c r="EZ19" s="37"/>
      <c r="FA19" s="33"/>
      <c r="FB19" s="33"/>
      <c r="FC19" s="33"/>
      <c r="FD19" s="33"/>
      <c r="FE19" s="33"/>
      <c r="FF19" s="37"/>
      <c r="FG19" s="33"/>
      <c r="FH19" s="33"/>
      <c r="FI19" s="33"/>
      <c r="FJ19" s="37"/>
    </row>
    <row r="20" spans="1:166" ht="18" customHeight="1">
      <c r="A20" s="167" t="s">
        <v>95</v>
      </c>
      <c r="B20" s="30" t="str">
        <f t="shared" si="0"/>
        <v>Honda</v>
      </c>
      <c r="C20" s="31">
        <f t="shared" si="1"/>
        <v>4</v>
      </c>
      <c r="D20" s="31">
        <f t="shared" si="1"/>
        <v>31</v>
      </c>
      <c r="E20" s="31">
        <f t="shared" si="1"/>
        <v>29</v>
      </c>
      <c r="F20" s="35">
        <f t="shared" si="2"/>
        <v>21.188888888888886</v>
      </c>
      <c r="G20" s="489"/>
      <c r="I20" s="21" t="s">
        <v>89</v>
      </c>
      <c r="J20" s="176" t="str">
        <f t="shared" si="3"/>
        <v>Honda</v>
      </c>
      <c r="K20" s="35">
        <f t="shared" si="4"/>
        <v>21.188888888888886</v>
      </c>
      <c r="L20" s="489"/>
      <c r="M20" s="110">
        <f t="shared" si="5"/>
        <v>1</v>
      </c>
      <c r="N20" s="110">
        <f t="shared" si="6"/>
        <v>6</v>
      </c>
      <c r="O20" s="31">
        <f t="shared" si="7"/>
        <v>4</v>
      </c>
      <c r="P20" s="110">
        <f t="shared" si="8"/>
        <v>35</v>
      </c>
      <c r="Q20" s="110">
        <f t="shared" si="9"/>
        <v>26</v>
      </c>
      <c r="R20" s="110">
        <f t="shared" si="10"/>
        <v>54</v>
      </c>
      <c r="S20" s="110">
        <f t="shared" si="11"/>
        <v>0</v>
      </c>
      <c r="T20" s="110">
        <f t="shared" si="12"/>
        <v>42</v>
      </c>
      <c r="U20" s="31">
        <f t="shared" si="13"/>
        <v>31</v>
      </c>
      <c r="V20" s="110">
        <f t="shared" si="14"/>
        <v>67</v>
      </c>
      <c r="W20" s="110">
        <f t="shared" si="15"/>
        <v>19</v>
      </c>
      <c r="X20" s="110">
        <f t="shared" si="16"/>
        <v>0</v>
      </c>
      <c r="Y20" s="31">
        <f t="shared" si="17"/>
        <v>29</v>
      </c>
      <c r="AA20" s="21" t="str">
        <f t="shared" si="18"/>
        <v>Honda</v>
      </c>
      <c r="AB20" s="30" t="str">
        <f t="shared" si="19"/>
        <v>Honda</v>
      </c>
      <c r="AC20" s="480"/>
      <c r="AD20" s="35">
        <f t="shared" si="20"/>
        <v>21.188888888888886</v>
      </c>
      <c r="AE20" s="23" t="str">
        <f t="shared" si="21"/>
        <v>▼</v>
      </c>
      <c r="AF20" s="215">
        <f t="shared" si="69"/>
        <v>-7</v>
      </c>
      <c r="AG20" s="169">
        <f t="shared" si="23"/>
        <v>1</v>
      </c>
      <c r="AH20" s="23" t="str">
        <f t="shared" si="70"/>
        <v>▲</v>
      </c>
      <c r="AI20" s="215">
        <f t="shared" si="71"/>
        <v>1</v>
      </c>
      <c r="AJ20" s="169">
        <f t="shared" si="26"/>
        <v>6</v>
      </c>
      <c r="AK20" s="23" t="str">
        <f t="shared" si="72"/>
        <v>▼</v>
      </c>
      <c r="AL20" s="215">
        <f t="shared" si="73"/>
        <v>-32</v>
      </c>
      <c r="AM20" s="169">
        <f t="shared" si="29"/>
        <v>35</v>
      </c>
      <c r="AN20" s="23" t="str">
        <f t="shared" si="74"/>
        <v>▼</v>
      </c>
      <c r="AO20" s="215">
        <f t="shared" si="75"/>
        <v>-16</v>
      </c>
      <c r="AP20" s="169">
        <f t="shared" si="32"/>
        <v>26</v>
      </c>
      <c r="AQ20" s="23" t="str">
        <f t="shared" si="76"/>
        <v/>
      </c>
      <c r="AR20" s="215">
        <f t="shared" si="77"/>
        <v>0</v>
      </c>
      <c r="AS20" s="169">
        <f t="shared" si="35"/>
        <v>54</v>
      </c>
      <c r="AT20" s="23" t="str">
        <f t="shared" si="78"/>
        <v>▲</v>
      </c>
      <c r="AU20" s="215">
        <f t="shared" si="79"/>
        <v>2</v>
      </c>
      <c r="AV20" s="169">
        <f t="shared" si="38"/>
        <v>0</v>
      </c>
      <c r="AW20" s="23" t="str">
        <f t="shared" si="80"/>
        <v/>
      </c>
      <c r="AX20" s="215">
        <f t="shared" si="81"/>
        <v>0</v>
      </c>
      <c r="AY20" s="169">
        <f t="shared" si="41"/>
        <v>42</v>
      </c>
      <c r="AZ20" s="23" t="str">
        <f t="shared" si="82"/>
        <v>▲</v>
      </c>
      <c r="BA20" s="215">
        <f t="shared" si="83"/>
        <v>10</v>
      </c>
      <c r="BB20" s="169">
        <f t="shared" si="44"/>
        <v>67</v>
      </c>
      <c r="BC20" s="23" t="str">
        <f t="shared" si="84"/>
        <v>▼</v>
      </c>
      <c r="BD20" s="215">
        <f t="shared" si="85"/>
        <v>-6</v>
      </c>
      <c r="BE20" s="169">
        <f t="shared" si="47"/>
        <v>19</v>
      </c>
      <c r="BF20" s="23" t="str">
        <f t="shared" si="86"/>
        <v>▼</v>
      </c>
      <c r="BG20" s="215">
        <f t="shared" si="87"/>
        <v>-5</v>
      </c>
      <c r="BH20" s="169">
        <f t="shared" si="50"/>
        <v>0</v>
      </c>
      <c r="BI20" s="23" t="str">
        <f t="shared" si="88"/>
        <v/>
      </c>
      <c r="BJ20" s="215">
        <f t="shared" si="89"/>
        <v>0</v>
      </c>
      <c r="BY20" s="33"/>
      <c r="BZ20" s="33"/>
      <c r="CA20" s="33"/>
      <c r="CB20" s="33"/>
      <c r="CC20" s="33"/>
      <c r="CD20" s="33"/>
      <c r="CE20" s="33"/>
      <c r="CF20" s="33"/>
      <c r="CV20" s="33"/>
      <c r="CW20" s="33"/>
      <c r="CX20" s="33"/>
      <c r="CY20" s="33"/>
      <c r="CZ20" s="33"/>
      <c r="DA20" s="33"/>
      <c r="DB20" s="33"/>
      <c r="DC20" s="33"/>
      <c r="DD20" s="33"/>
      <c r="DE20" s="33"/>
      <c r="DF20" s="33"/>
      <c r="DG20" s="33"/>
      <c r="DH20" s="33"/>
      <c r="DL20" s="64" t="s">
        <v>89</v>
      </c>
      <c r="DM20" s="30" t="str">
        <f t="shared" si="53"/>
        <v>Honda</v>
      </c>
      <c r="DN20" s="39">
        <f t="shared" si="54"/>
        <v>1</v>
      </c>
      <c r="DO20" s="40">
        <f t="shared" si="55"/>
        <v>6</v>
      </c>
      <c r="DP20" s="51">
        <f t="shared" si="56"/>
        <v>4</v>
      </c>
      <c r="DQ20" s="486"/>
      <c r="DR20" s="70"/>
      <c r="DS20" s="8" t="s">
        <v>91</v>
      </c>
      <c r="DT20" s="30" t="str">
        <f t="shared" si="57"/>
        <v>Nissan</v>
      </c>
      <c r="DU20" s="39">
        <f t="shared" si="58"/>
        <v>18</v>
      </c>
      <c r="DV20" s="39">
        <f t="shared" si="59"/>
        <v>22</v>
      </c>
      <c r="DW20" s="39">
        <f t="shared" si="60"/>
        <v>30</v>
      </c>
      <c r="DX20" s="39">
        <f t="shared" si="61"/>
        <v>0</v>
      </c>
      <c r="DY20" s="39">
        <f t="shared" si="62"/>
        <v>33</v>
      </c>
      <c r="DZ20" s="51">
        <f t="shared" si="63"/>
        <v>21</v>
      </c>
      <c r="EA20" s="486"/>
      <c r="EC20" s="8" t="s">
        <v>84</v>
      </c>
      <c r="ED20" s="30" t="str">
        <f t="shared" si="64"/>
        <v>Hyundai-Kia</v>
      </c>
      <c r="EE20" s="39">
        <f t="shared" si="65"/>
        <v>54</v>
      </c>
      <c r="EF20" s="39">
        <f t="shared" si="66"/>
        <v>21</v>
      </c>
      <c r="EG20" s="39">
        <f t="shared" si="67"/>
        <v>0</v>
      </c>
      <c r="EH20" s="31">
        <f t="shared" si="68"/>
        <v>25</v>
      </c>
      <c r="EI20" s="482"/>
      <c r="EU20" s="37"/>
      <c r="EX20" s="33"/>
      <c r="EY20" s="33"/>
      <c r="EZ20" s="37"/>
      <c r="FA20" s="33"/>
      <c r="FB20" s="33"/>
      <c r="FC20" s="33"/>
      <c r="FD20" s="33"/>
      <c r="FE20" s="33"/>
      <c r="FF20" s="37"/>
      <c r="FG20" s="33"/>
      <c r="FH20" s="33"/>
      <c r="FI20" s="33"/>
      <c r="FJ20" s="37"/>
    </row>
    <row r="21" spans="1:166" ht="18" customHeight="1">
      <c r="A21" s="167" t="s">
        <v>96</v>
      </c>
      <c r="B21" s="30" t="str">
        <f t="shared" si="0"/>
        <v>Nissan</v>
      </c>
      <c r="C21" s="31">
        <f t="shared" si="1"/>
        <v>17</v>
      </c>
      <c r="D21" s="31">
        <f t="shared" si="1"/>
        <v>21</v>
      </c>
      <c r="E21" s="31">
        <f t="shared" si="1"/>
        <v>5</v>
      </c>
      <c r="F21" s="35">
        <f t="shared" si="2"/>
        <v>13.922222222222222</v>
      </c>
      <c r="G21" s="489"/>
      <c r="I21" s="21" t="s">
        <v>91</v>
      </c>
      <c r="J21" s="176" t="str">
        <f t="shared" si="3"/>
        <v>Nissan</v>
      </c>
      <c r="K21" s="35">
        <f t="shared" si="4"/>
        <v>13.922222222222222</v>
      </c>
      <c r="L21" s="489"/>
      <c r="M21" s="110">
        <f t="shared" si="5"/>
        <v>5</v>
      </c>
      <c r="N21" s="110">
        <f t="shared" si="6"/>
        <v>28</v>
      </c>
      <c r="O21" s="31">
        <f t="shared" si="7"/>
        <v>17</v>
      </c>
      <c r="P21" s="110">
        <f t="shared" si="8"/>
        <v>18</v>
      </c>
      <c r="Q21" s="110">
        <f t="shared" si="9"/>
        <v>22</v>
      </c>
      <c r="R21" s="110">
        <f t="shared" si="10"/>
        <v>30</v>
      </c>
      <c r="S21" s="110">
        <f t="shared" si="11"/>
        <v>0</v>
      </c>
      <c r="T21" s="110">
        <f t="shared" si="12"/>
        <v>33</v>
      </c>
      <c r="U21" s="31">
        <f t="shared" si="13"/>
        <v>21</v>
      </c>
      <c r="V21" s="110">
        <f t="shared" si="14"/>
        <v>0</v>
      </c>
      <c r="W21" s="110">
        <f t="shared" si="15"/>
        <v>9</v>
      </c>
      <c r="X21" s="110">
        <f t="shared" si="16"/>
        <v>5</v>
      </c>
      <c r="Y21" s="31">
        <f t="shared" si="17"/>
        <v>5</v>
      </c>
      <c r="AA21" s="21" t="str">
        <f t="shared" si="18"/>
        <v>Nissan</v>
      </c>
      <c r="AB21" s="30" t="str">
        <f t="shared" si="19"/>
        <v>Nissan</v>
      </c>
      <c r="AC21" s="480"/>
      <c r="AD21" s="35">
        <f t="shared" si="20"/>
        <v>13.922222222222222</v>
      </c>
      <c r="AE21" s="23" t="str">
        <f t="shared" si="21"/>
        <v>▼</v>
      </c>
      <c r="AF21" s="215">
        <f t="shared" si="69"/>
        <v>-13</v>
      </c>
      <c r="AG21" s="169">
        <f t="shared" si="23"/>
        <v>5</v>
      </c>
      <c r="AH21" s="23" t="str">
        <f t="shared" si="70"/>
        <v>▲</v>
      </c>
      <c r="AI21" s="215">
        <f t="shared" si="71"/>
        <v>1</v>
      </c>
      <c r="AJ21" s="169">
        <f t="shared" si="26"/>
        <v>28</v>
      </c>
      <c r="AK21" s="23" t="str">
        <f t="shared" si="72"/>
        <v>▼</v>
      </c>
      <c r="AL21" s="215">
        <f t="shared" si="73"/>
        <v>-35</v>
      </c>
      <c r="AM21" s="169">
        <f t="shared" si="29"/>
        <v>18</v>
      </c>
      <c r="AN21" s="23" t="str">
        <f t="shared" si="74"/>
        <v>▼</v>
      </c>
      <c r="AO21" s="215">
        <f t="shared" si="75"/>
        <v>-1</v>
      </c>
      <c r="AP21" s="169">
        <f t="shared" si="32"/>
        <v>22</v>
      </c>
      <c r="AQ21" s="23" t="str">
        <f t="shared" si="76"/>
        <v>▲</v>
      </c>
      <c r="AR21" s="215">
        <f t="shared" si="77"/>
        <v>10</v>
      </c>
      <c r="AS21" s="169">
        <f t="shared" si="35"/>
        <v>30</v>
      </c>
      <c r="AT21" s="23" t="str">
        <f t="shared" si="78"/>
        <v>▲</v>
      </c>
      <c r="AU21" s="215">
        <f t="shared" si="79"/>
        <v>1</v>
      </c>
      <c r="AV21" s="169">
        <f t="shared" si="38"/>
        <v>0</v>
      </c>
      <c r="AW21" s="23" t="str">
        <f t="shared" si="80"/>
        <v/>
      </c>
      <c r="AX21" s="215">
        <f t="shared" si="81"/>
        <v>0</v>
      </c>
      <c r="AY21" s="169">
        <f t="shared" si="41"/>
        <v>33</v>
      </c>
      <c r="AZ21" s="23" t="str">
        <f t="shared" si="82"/>
        <v>▲</v>
      </c>
      <c r="BA21" s="215">
        <f t="shared" si="83"/>
        <v>2</v>
      </c>
      <c r="BB21" s="169">
        <f t="shared" si="44"/>
        <v>0</v>
      </c>
      <c r="BC21" s="23" t="str">
        <f t="shared" si="84"/>
        <v>▼</v>
      </c>
      <c r="BD21" s="215">
        <f t="shared" si="85"/>
        <v>-60</v>
      </c>
      <c r="BE21" s="169">
        <f t="shared" si="47"/>
        <v>9</v>
      </c>
      <c r="BF21" s="23" t="str">
        <f t="shared" si="86"/>
        <v>▼</v>
      </c>
      <c r="BG21" s="215">
        <f t="shared" si="87"/>
        <v>-15</v>
      </c>
      <c r="BH21" s="169">
        <f t="shared" si="50"/>
        <v>5</v>
      </c>
      <c r="BI21" s="23" t="str">
        <f t="shared" si="88"/>
        <v>▼</v>
      </c>
      <c r="BJ21" s="215">
        <f t="shared" si="89"/>
        <v>-2</v>
      </c>
      <c r="BY21" s="33"/>
      <c r="BZ21" s="33"/>
      <c r="CA21" s="33"/>
      <c r="CB21" s="33"/>
      <c r="CC21" s="33"/>
      <c r="CD21" s="33"/>
      <c r="CE21" s="33"/>
      <c r="CF21" s="33"/>
      <c r="CV21" s="33"/>
      <c r="CW21" s="33"/>
      <c r="CX21" s="33"/>
      <c r="CY21" s="33"/>
      <c r="CZ21" s="33"/>
      <c r="DA21" s="33"/>
      <c r="DB21" s="33"/>
      <c r="DC21" s="33"/>
      <c r="DD21" s="33"/>
      <c r="DE21" s="33"/>
      <c r="DF21" s="33"/>
      <c r="DG21" s="33"/>
      <c r="DH21" s="33"/>
      <c r="DL21" s="64" t="s">
        <v>97</v>
      </c>
      <c r="DM21" s="30" t="str">
        <f t="shared" si="53"/>
        <v>Mazda</v>
      </c>
      <c r="DN21" s="39">
        <f t="shared" si="54"/>
        <v>2</v>
      </c>
      <c r="DO21" s="40">
        <f t="shared" si="55"/>
        <v>3</v>
      </c>
      <c r="DP21" s="51">
        <f t="shared" si="56"/>
        <v>3</v>
      </c>
      <c r="DQ21" s="486"/>
      <c r="DR21" s="70"/>
      <c r="DS21" s="8" t="s">
        <v>97</v>
      </c>
      <c r="DT21" s="30" t="str">
        <f t="shared" si="57"/>
        <v>Mazda</v>
      </c>
      <c r="DU21" s="41">
        <f t="shared" si="58"/>
        <v>0</v>
      </c>
      <c r="DV21" s="42">
        <f t="shared" si="59"/>
        <v>19</v>
      </c>
      <c r="DW21" s="42">
        <f t="shared" si="60"/>
        <v>2</v>
      </c>
      <c r="DX21" s="39">
        <f t="shared" si="61"/>
        <v>0</v>
      </c>
      <c r="DY21" s="39">
        <f t="shared" si="62"/>
        <v>0</v>
      </c>
      <c r="DZ21" s="51">
        <f t="shared" si="63"/>
        <v>4</v>
      </c>
      <c r="EA21" s="486"/>
      <c r="EC21" s="8" t="s">
        <v>97</v>
      </c>
      <c r="ED21" s="30" t="str">
        <f t="shared" si="64"/>
        <v>Mazda</v>
      </c>
      <c r="EE21" s="39">
        <f t="shared" si="65"/>
        <v>38</v>
      </c>
      <c r="EF21" s="39">
        <f t="shared" si="66"/>
        <v>15</v>
      </c>
      <c r="EG21" s="39">
        <f t="shared" si="67"/>
        <v>0</v>
      </c>
      <c r="EH21" s="31">
        <f t="shared" si="68"/>
        <v>18</v>
      </c>
      <c r="EI21" s="482"/>
      <c r="EU21" s="37"/>
      <c r="EX21" s="33"/>
      <c r="EY21" s="33"/>
      <c r="EZ21" s="37"/>
      <c r="FA21" s="33"/>
      <c r="FB21" s="33"/>
      <c r="FC21" s="33"/>
      <c r="FD21" s="33"/>
      <c r="FE21" s="33"/>
      <c r="FF21" s="37"/>
      <c r="FG21" s="33"/>
      <c r="FH21" s="33"/>
      <c r="FI21" s="33"/>
      <c r="FJ21" s="37"/>
    </row>
    <row r="22" spans="1:166" ht="19">
      <c r="A22" s="168" t="s">
        <v>98</v>
      </c>
      <c r="B22" s="30" t="str">
        <f t="shared" si="0"/>
        <v>Mazda</v>
      </c>
      <c r="C22" s="31">
        <f t="shared" ref="C22:E23" si="90">_xlfn.XLOOKUP($A22,$B$27:$B$47,C$27:C$47)</f>
        <v>2.5</v>
      </c>
      <c r="D22" s="31">
        <f t="shared" si="90"/>
        <v>4.2</v>
      </c>
      <c r="E22" s="29">
        <f t="shared" si="90"/>
        <v>17.666666666666668</v>
      </c>
      <c r="F22" s="35">
        <f t="shared" si="2"/>
        <v>8.1222222222222218</v>
      </c>
      <c r="G22" s="489"/>
      <c r="I22" s="21" t="s">
        <v>97</v>
      </c>
      <c r="J22" s="176" t="str">
        <f t="shared" si="3"/>
        <v>Mazda</v>
      </c>
      <c r="K22" s="35">
        <f t="shared" si="4"/>
        <v>8.1222222222222218</v>
      </c>
      <c r="L22" s="489"/>
      <c r="M22" s="110">
        <f>_xlfn.XLOOKUP($I22,$B$51:$B$71,C$51:C$71)</f>
        <v>2.189629597510669</v>
      </c>
      <c r="N22" s="110">
        <f>_xlfn.XLOOKUP($I22,$B$51:$B$71,D$51:D$71)</f>
        <v>3.4992223950233283</v>
      </c>
      <c r="O22" s="31">
        <f t="shared" si="7"/>
        <v>3</v>
      </c>
      <c r="P22" s="110">
        <f t="shared" ref="P22:T23" si="91">_xlfn.XLOOKUP($I22,$B$51:$B$71,E$51:E$71)</f>
        <v>0</v>
      </c>
      <c r="Q22" s="110">
        <f t="shared" si="91"/>
        <v>18.808181818181815</v>
      </c>
      <c r="R22" s="110">
        <f t="shared" si="91"/>
        <v>2.2258894657925579</v>
      </c>
      <c r="S22" s="110">
        <f t="shared" si="91"/>
        <v>0</v>
      </c>
      <c r="T22" s="110">
        <f t="shared" si="91"/>
        <v>0</v>
      </c>
      <c r="U22" s="31">
        <f t="shared" si="13"/>
        <v>4</v>
      </c>
      <c r="V22" s="110">
        <f t="shared" ref="V22:X23" si="92">_xlfn.XLOOKUP($I22,$B$51:$B$71,J$51:J$71)</f>
        <v>37.630983897065292</v>
      </c>
      <c r="W22" s="110">
        <f t="shared" si="92"/>
        <v>14.665136975081881</v>
      </c>
      <c r="X22" s="110">
        <f t="shared" si="92"/>
        <v>0</v>
      </c>
      <c r="Y22" s="31">
        <f t="shared" si="17"/>
        <v>18</v>
      </c>
      <c r="AA22" s="21" t="str">
        <f t="shared" si="18"/>
        <v>Mazda</v>
      </c>
      <c r="AB22" s="30" t="str">
        <f t="shared" si="19"/>
        <v>Mazda</v>
      </c>
      <c r="AC22" s="480"/>
      <c r="AD22" s="35">
        <f t="shared" si="20"/>
        <v>8.1222222222222218</v>
      </c>
      <c r="AE22" s="23" t="str">
        <f t="shared" si="21"/>
        <v>▼</v>
      </c>
      <c r="AF22" s="215">
        <f t="shared" si="69"/>
        <v>-2</v>
      </c>
      <c r="AG22" s="181">
        <f t="shared" si="23"/>
        <v>2.189629597510669</v>
      </c>
      <c r="AH22" s="216" t="str">
        <f t="shared" si="70"/>
        <v>▲</v>
      </c>
      <c r="AI22" s="181">
        <f t="shared" si="71"/>
        <v>1</v>
      </c>
      <c r="AJ22" s="181">
        <f t="shared" si="26"/>
        <v>3.4992223950233283</v>
      </c>
      <c r="AK22" s="216" t="str">
        <f t="shared" si="72"/>
        <v>▼</v>
      </c>
      <c r="AL22" s="215">
        <f t="shared" si="73"/>
        <v>-10</v>
      </c>
      <c r="AM22" s="181">
        <f t="shared" si="29"/>
        <v>0</v>
      </c>
      <c r="AN22" s="216" t="str">
        <f t="shared" si="74"/>
        <v/>
      </c>
      <c r="AO22" s="181">
        <f t="shared" si="75"/>
        <v>0</v>
      </c>
      <c r="AP22" s="181">
        <f t="shared" si="32"/>
        <v>18.808181818181815</v>
      </c>
      <c r="AQ22" s="216" t="str">
        <f t="shared" si="76"/>
        <v/>
      </c>
      <c r="AR22" s="181">
        <f t="shared" si="77"/>
        <v>0</v>
      </c>
      <c r="AS22" s="181">
        <f t="shared" si="35"/>
        <v>2.2258894657925579</v>
      </c>
      <c r="AT22" s="216" t="str">
        <f t="shared" si="78"/>
        <v>▼</v>
      </c>
      <c r="AU22" s="215">
        <f t="shared" si="79"/>
        <v>-1</v>
      </c>
      <c r="AV22" s="181">
        <f t="shared" si="38"/>
        <v>0</v>
      </c>
      <c r="AW22" s="216" t="str">
        <f t="shared" si="80"/>
        <v/>
      </c>
      <c r="AX22" s="181">
        <f t="shared" si="81"/>
        <v>0</v>
      </c>
      <c r="AY22" s="181">
        <f t="shared" si="41"/>
        <v>0</v>
      </c>
      <c r="AZ22" s="216" t="str">
        <f t="shared" si="82"/>
        <v/>
      </c>
      <c r="BA22" s="181">
        <f t="shared" si="83"/>
        <v>0</v>
      </c>
      <c r="BB22" s="181">
        <f t="shared" si="44"/>
        <v>37.630983897065292</v>
      </c>
      <c r="BC22" s="216" t="str">
        <f t="shared" si="84"/>
        <v>▲</v>
      </c>
      <c r="BD22" s="181">
        <f t="shared" si="85"/>
        <v>8</v>
      </c>
      <c r="BE22" s="181">
        <f t="shared" si="47"/>
        <v>14.665136975081881</v>
      </c>
      <c r="BF22" s="23" t="str">
        <f t="shared" si="86"/>
        <v>▼</v>
      </c>
      <c r="BG22" s="215">
        <f t="shared" si="87"/>
        <v>-10</v>
      </c>
      <c r="BH22" s="169">
        <f t="shared" si="50"/>
        <v>0</v>
      </c>
      <c r="BI22" s="23" t="str">
        <f t="shared" si="88"/>
        <v/>
      </c>
      <c r="BJ22" s="215">
        <f t="shared" si="89"/>
        <v>0</v>
      </c>
      <c r="BM22" s="37"/>
      <c r="BY22" s="33"/>
      <c r="BZ22" s="33"/>
      <c r="CA22" s="33"/>
      <c r="CB22" s="33"/>
      <c r="CC22" s="33"/>
      <c r="CD22" s="33"/>
      <c r="CE22" s="33"/>
      <c r="CF22" s="33"/>
      <c r="CV22" s="33"/>
      <c r="CW22" s="33"/>
      <c r="CX22" s="33"/>
      <c r="CY22" s="33"/>
      <c r="CZ22" s="33"/>
      <c r="DA22" s="33"/>
      <c r="DB22" s="33"/>
      <c r="DC22" s="33"/>
      <c r="DD22" s="33"/>
      <c r="DE22" s="33"/>
      <c r="DF22" s="33"/>
      <c r="DG22" s="33"/>
      <c r="DH22" s="33"/>
      <c r="DL22" s="65" t="s">
        <v>99</v>
      </c>
      <c r="DM22" s="30" t="str">
        <f t="shared" si="53"/>
        <v>Suzuki</v>
      </c>
      <c r="DN22" s="47">
        <f t="shared" si="54"/>
        <v>0</v>
      </c>
      <c r="DO22" s="48">
        <f t="shared" si="55"/>
        <v>0</v>
      </c>
      <c r="DP22" s="52">
        <f t="shared" si="56"/>
        <v>0</v>
      </c>
      <c r="DQ22" s="487"/>
      <c r="DR22" s="70"/>
      <c r="DS22" s="8" t="s">
        <v>99</v>
      </c>
      <c r="DT22" s="30" t="str">
        <f t="shared" si="57"/>
        <v>Suzuki</v>
      </c>
      <c r="DU22" s="47" t="s">
        <v>100</v>
      </c>
      <c r="DV22" s="47" t="s">
        <v>100</v>
      </c>
      <c r="DW22" s="47" t="s">
        <v>100</v>
      </c>
      <c r="DX22" s="47">
        <f>ROUND(_xlfn.XLOOKUP($DS22,$B$51:$B$71,H$51:H$71),0)</f>
        <v>0</v>
      </c>
      <c r="DY22" s="47">
        <f>ROUND(_xlfn.XLOOKUP($DS22,$B$51:$B$71,I$51:I$71),0)</f>
        <v>0</v>
      </c>
      <c r="DZ22" s="52">
        <f t="shared" si="63"/>
        <v>0</v>
      </c>
      <c r="EA22" s="487"/>
      <c r="EC22" s="8" t="s">
        <v>99</v>
      </c>
      <c r="ED22" s="30" t="str">
        <f t="shared" si="64"/>
        <v>Suzuki</v>
      </c>
      <c r="EE22" s="47">
        <f t="shared" si="65"/>
        <v>32</v>
      </c>
      <c r="EF22" s="47">
        <f t="shared" si="66"/>
        <v>4</v>
      </c>
      <c r="EG22" s="47">
        <f t="shared" si="67"/>
        <v>0</v>
      </c>
      <c r="EH22" s="49">
        <f t="shared" si="68"/>
        <v>12</v>
      </c>
      <c r="EI22" s="483"/>
      <c r="EU22" s="37"/>
      <c r="EX22" s="33"/>
      <c r="EY22" s="33"/>
      <c r="EZ22" s="37"/>
      <c r="FA22" s="33"/>
      <c r="FB22" s="33"/>
      <c r="FC22" s="33"/>
      <c r="FD22" s="33"/>
      <c r="FE22" s="33"/>
      <c r="FF22" s="37"/>
      <c r="FG22" s="33"/>
      <c r="FH22" s="33"/>
      <c r="FI22" s="33"/>
      <c r="FJ22" s="37"/>
    </row>
    <row r="23" spans="1:166" ht="19" customHeight="1">
      <c r="A23" s="21" t="s">
        <v>101</v>
      </c>
      <c r="B23" s="30" t="str">
        <f t="shared" si="0"/>
        <v>Suzuki</v>
      </c>
      <c r="C23" s="31">
        <f t="shared" si="90"/>
        <v>0</v>
      </c>
      <c r="D23" s="31">
        <f t="shared" si="90"/>
        <v>0</v>
      </c>
      <c r="E23" s="29">
        <f t="shared" si="90"/>
        <v>12</v>
      </c>
      <c r="F23" s="35">
        <f t="shared" si="2"/>
        <v>4</v>
      </c>
      <c r="G23" s="489"/>
      <c r="I23" s="21" t="s">
        <v>99</v>
      </c>
      <c r="J23" s="176" t="str">
        <f t="shared" si="3"/>
        <v>Suzuki</v>
      </c>
      <c r="K23" s="35">
        <f t="shared" si="4"/>
        <v>4</v>
      </c>
      <c r="L23" s="496"/>
      <c r="M23" s="110">
        <f>_xlfn.XLOOKUP($I23,$B$51:$B$71,C$51:C$71)</f>
        <v>3.3267511964491375E-2</v>
      </c>
      <c r="N23" s="110">
        <f>_xlfn.XLOOKUP($I23,$B$51:$B$71,D$51:D$71)</f>
        <v>0</v>
      </c>
      <c r="O23" s="31">
        <f t="shared" si="7"/>
        <v>0</v>
      </c>
      <c r="P23" s="110" t="str">
        <f t="shared" si="91"/>
        <v>N/A</v>
      </c>
      <c r="Q23" s="110" t="str">
        <f t="shared" si="91"/>
        <v>N/A</v>
      </c>
      <c r="R23" s="110" t="str">
        <f t="shared" si="91"/>
        <v>N/A</v>
      </c>
      <c r="S23" s="110">
        <f t="shared" si="91"/>
        <v>0</v>
      </c>
      <c r="T23" s="110">
        <f t="shared" si="91"/>
        <v>0</v>
      </c>
      <c r="U23" s="31">
        <f t="shared" si="13"/>
        <v>0</v>
      </c>
      <c r="V23" s="110">
        <f t="shared" si="92"/>
        <v>32.055107731927649</v>
      </c>
      <c r="W23" s="110">
        <f t="shared" si="92"/>
        <v>3.9726387118972335</v>
      </c>
      <c r="X23" s="110">
        <f t="shared" si="92"/>
        <v>0</v>
      </c>
      <c r="Y23" s="31">
        <f t="shared" si="17"/>
        <v>12</v>
      </c>
      <c r="AA23" s="21" t="str">
        <f t="shared" si="18"/>
        <v>Suzuki</v>
      </c>
      <c r="AB23" s="30" t="str">
        <f t="shared" si="19"/>
        <v>Suzuki</v>
      </c>
      <c r="AC23" s="480"/>
      <c r="AD23" s="35">
        <f t="shared" si="20"/>
        <v>4</v>
      </c>
      <c r="AE23" s="23" t="str">
        <f t="shared" si="21"/>
        <v>▲</v>
      </c>
      <c r="AF23" s="215">
        <f t="shared" si="69"/>
        <v>4</v>
      </c>
      <c r="AG23" s="181">
        <f t="shared" si="23"/>
        <v>3.3267511964491375E-2</v>
      </c>
      <c r="AH23" s="23" t="str">
        <f t="shared" si="70"/>
        <v/>
      </c>
      <c r="AI23" s="215">
        <f t="shared" si="71"/>
        <v>0</v>
      </c>
      <c r="AJ23" s="169">
        <f t="shared" si="26"/>
        <v>0</v>
      </c>
      <c r="AK23" s="23" t="str">
        <f t="shared" si="72"/>
        <v/>
      </c>
      <c r="AL23" s="215">
        <f t="shared" si="73"/>
        <v>0</v>
      </c>
      <c r="AM23" s="169" t="str">
        <f t="shared" si="29"/>
        <v>N/A</v>
      </c>
      <c r="AN23" s="23"/>
      <c r="AO23" s="215"/>
      <c r="AP23" s="169" t="str">
        <f t="shared" si="32"/>
        <v>N/A</v>
      </c>
      <c r="AQ23" s="23"/>
      <c r="AR23" s="37"/>
      <c r="AS23" s="169" t="str">
        <f t="shared" si="35"/>
        <v>N/A</v>
      </c>
      <c r="AT23" s="23"/>
      <c r="AU23" s="215"/>
      <c r="AV23" s="169">
        <f t="shared" si="38"/>
        <v>0</v>
      </c>
      <c r="AW23" s="23" t="str">
        <f t="shared" si="80"/>
        <v/>
      </c>
      <c r="AX23" s="215">
        <f t="shared" si="81"/>
        <v>0</v>
      </c>
      <c r="AY23" s="169">
        <f t="shared" si="41"/>
        <v>0</v>
      </c>
      <c r="AZ23" s="23" t="str">
        <f t="shared" si="82"/>
        <v/>
      </c>
      <c r="BA23" s="215">
        <f t="shared" si="83"/>
        <v>0</v>
      </c>
      <c r="BB23" s="181">
        <f t="shared" si="44"/>
        <v>32.055107731927649</v>
      </c>
      <c r="BC23" s="216" t="str">
        <f t="shared" si="84"/>
        <v>▲</v>
      </c>
      <c r="BD23" s="181">
        <f t="shared" si="85"/>
        <v>32</v>
      </c>
      <c r="BE23" s="181">
        <f t="shared" si="47"/>
        <v>3.9726387118972335</v>
      </c>
      <c r="BF23" s="23" t="str">
        <f t="shared" si="86"/>
        <v>▲</v>
      </c>
      <c r="BG23" s="215">
        <f t="shared" si="87"/>
        <v>4</v>
      </c>
      <c r="BH23" s="169">
        <f t="shared" si="50"/>
        <v>0</v>
      </c>
      <c r="BI23" s="23" t="str">
        <f t="shared" si="88"/>
        <v/>
      </c>
      <c r="BJ23" s="215">
        <f t="shared" si="89"/>
        <v>0</v>
      </c>
      <c r="DL23" s="91" t="s">
        <v>90</v>
      </c>
      <c r="DM23" s="30" t="str">
        <f t="shared" si="53"/>
        <v>Chery</v>
      </c>
      <c r="DS23" s="91" t="s">
        <v>90</v>
      </c>
      <c r="DT23" s="30" t="str">
        <f t="shared" si="57"/>
        <v>Chery</v>
      </c>
      <c r="EC23" s="91" t="s">
        <v>90</v>
      </c>
      <c r="ED23" s="30" t="str">
        <f t="shared" si="64"/>
        <v>Chery</v>
      </c>
      <c r="EU23" s="37"/>
      <c r="EX23" s="33"/>
      <c r="EY23" s="33"/>
      <c r="EZ23" s="37"/>
      <c r="FA23" s="33"/>
      <c r="FB23" s="33"/>
      <c r="FC23" s="33"/>
      <c r="FD23" s="33"/>
      <c r="FE23" s="33"/>
      <c r="FF23" s="37"/>
      <c r="FG23" s="33"/>
      <c r="FH23" s="33"/>
      <c r="FI23" s="33"/>
      <c r="FJ23" s="37"/>
    </row>
    <row r="24" spans="1:166" ht="19" customHeight="1">
      <c r="AZ24" s="68"/>
    </row>
    <row r="25" spans="1:166" ht="36" customHeight="1">
      <c r="A25" s="34" t="s">
        <v>39</v>
      </c>
      <c r="AY25" s="68"/>
      <c r="AZ25" s="68"/>
    </row>
    <row r="26" spans="1:166" ht="35" customHeight="1">
      <c r="A26" s="178" t="s">
        <v>102</v>
      </c>
      <c r="B26" s="179" t="s">
        <v>31</v>
      </c>
      <c r="C26" s="150" t="s">
        <v>103</v>
      </c>
      <c r="D26" s="180" t="s">
        <v>34</v>
      </c>
      <c r="E26" s="133" t="s">
        <v>35</v>
      </c>
      <c r="F26" s="45" t="s">
        <v>104</v>
      </c>
      <c r="G26" s="74"/>
      <c r="H26" s="74"/>
      <c r="I26" s="21" t="s">
        <v>105</v>
      </c>
      <c r="J26" s="21"/>
      <c r="K26" s="74"/>
      <c r="L26" s="165"/>
      <c r="M26" s="172" t="s">
        <v>106</v>
      </c>
      <c r="N26" s="178" t="s">
        <v>38</v>
      </c>
      <c r="O26" s="178" t="s">
        <v>13</v>
      </c>
      <c r="P26" s="178" t="s">
        <v>40</v>
      </c>
      <c r="Q26" s="178" t="s">
        <v>17</v>
      </c>
      <c r="R26" s="178" t="s">
        <v>19</v>
      </c>
      <c r="S26" s="178" t="s">
        <v>41</v>
      </c>
      <c r="T26" s="178" t="s">
        <v>42</v>
      </c>
      <c r="U26" s="178" t="s">
        <v>43</v>
      </c>
      <c r="V26" s="178" t="s">
        <v>28</v>
      </c>
      <c r="W26" s="178" t="s">
        <v>44</v>
      </c>
      <c r="AO26" s="74"/>
      <c r="AS26" s="74"/>
      <c r="AW26" s="123"/>
      <c r="CU26" s="122"/>
      <c r="CV26" s="122"/>
      <c r="CW26" s="122"/>
      <c r="CX26" s="122"/>
      <c r="CY26" s="122"/>
      <c r="CZ26" s="122"/>
      <c r="DA26" s="122"/>
      <c r="DB26" s="122"/>
      <c r="DC26" s="122"/>
      <c r="DD26" s="122"/>
      <c r="DE26" s="122"/>
      <c r="DF26" s="123"/>
      <c r="DG26" s="122"/>
    </row>
    <row r="27" spans="1:166" ht="18" customHeight="1">
      <c r="A27" s="165">
        <f>_xlfn.XLOOKUP(B27,'Global sales'!$K$3:$K$30,'Global sales'!$L$3:$L$30,0)</f>
        <v>1</v>
      </c>
      <c r="B27" s="174" t="s">
        <v>77</v>
      </c>
      <c r="C27" s="177">
        <f t="shared" ref="C27:C47" si="93">AVERAGE(ROUND(C51,0),ROUND(D51,0))</f>
        <v>15</v>
      </c>
      <c r="D27" s="155">
        <f t="shared" ref="D27:D34" si="94">AVERAGE(ROUND(E51,0),ROUND(F51,0),ROUND(G51,0),ROUND(H51,0),ROUND(I51,0))</f>
        <v>50</v>
      </c>
      <c r="E27" s="157">
        <f t="shared" ref="E27:E47" si="95">AVERAGE(ROUND(J51,0),ROUND(K51,0),ROUND(L51,0))</f>
        <v>19</v>
      </c>
      <c r="F27" s="157">
        <f t="shared" ref="F27:F47" si="96">AVERAGE(C27:E27)</f>
        <v>28</v>
      </c>
      <c r="G27" s="74"/>
      <c r="H27" s="74"/>
      <c r="I27" s="165" t="s">
        <v>64</v>
      </c>
      <c r="J27" s="165" t="s">
        <v>64</v>
      </c>
      <c r="K27" s="74"/>
      <c r="L27" s="165" t="str">
        <f t="shared" ref="L27:L47" si="97">I3</f>
        <v>Tesla</v>
      </c>
      <c r="M27" s="21">
        <f>ROUND(_xlfn.XLOOKUP($L27,$B$51:$B$71,M$51:M$71),0)-ROUND(_xlfn.XLOOKUP($L27,'GAR 2022 score'!$B$29:$B$49,'GAR 2022 score'!$M$29:$M$49),0)</f>
        <v>1</v>
      </c>
      <c r="N27" s="21">
        <f>ROUND(_xlfn.XLOOKUP($L27,$B$51:$B$71,C$51:C$71),0)-ROUND(_xlfn.XLOOKUP($L27,'GAR 2022 score'!$B$29:$B$48,'GAR 2022 score'!C$29:C$48),0)</f>
        <v>0</v>
      </c>
      <c r="O27" s="21">
        <f>ROUND(_xlfn.XLOOKUP($L27,$B$51:$B$71,D$51:D$71),0)-ROUND(_xlfn.XLOOKUP($L27,'GAR 2022 score'!$B$29:$B$48,'GAR 2022 score'!D$29:D$48),0)</f>
        <v>8</v>
      </c>
      <c r="P27" s="21">
        <f>ROUND(_xlfn.XLOOKUP($L27,$B$51:$B$71,E$51:E$71),0)-ROUND(_xlfn.XLOOKUP($L27,'GAR 2022 score'!$B$29:$B$48,'GAR 2022 score'!E$29:E$48),0)</f>
        <v>-6</v>
      </c>
      <c r="Q27" s="21">
        <f>ROUND(_xlfn.XLOOKUP($L27,$B$51:$B$71,F$51:F$71),0)-ROUND(_xlfn.XLOOKUP($L27,'GAR 2022 score'!$B$29:$B$48,'GAR 2022 score'!F$29:F$48),0)</f>
        <v>0</v>
      </c>
      <c r="R27" s="21">
        <f>ROUND(_xlfn.XLOOKUP($L27,$B$51:$B$71,G$51:G$71),0)-ROUND(_xlfn.XLOOKUP($L27,'GAR 2022 score'!$B$29:$B$48,'GAR 2022 score'!G$29:G$48),0)</f>
        <v>0</v>
      </c>
      <c r="S27" s="21">
        <f>ROUND(_xlfn.XLOOKUP($L27,$B$51:$B$71,H$51:H$71),0)-ROUND(_xlfn.XLOOKUP($L27,'GAR 2022 score'!$B$29:$B$48,'GAR 2022 score'!H$29:H$48),0)</f>
        <v>0</v>
      </c>
      <c r="T27" s="21">
        <f>ROUND(_xlfn.XLOOKUP($L27,$B$51:$B$71,I$51:I$71),0)-ROUND(_xlfn.XLOOKUP($L27,'GAR 2022 score'!$B$29:$B$48,'GAR 2022 score'!I$29:I$48),0)</f>
        <v>0</v>
      </c>
      <c r="U27" s="21">
        <f>ROUND(_xlfn.XLOOKUP($L27,$B$51:$B$71,J$51:J$71),0)-ROUND(_xlfn.XLOOKUP($L27,'GAR 2022 score'!$B$29:$B$48,'GAR 2022 score'!J$29:J$48),0)</f>
        <v>0</v>
      </c>
      <c r="V27" s="21">
        <f>ROUND(_xlfn.XLOOKUP($L27,$B$51:$B$71,K$51:K$71),0)-ROUND(_xlfn.XLOOKUP($L27,'GAR 2022 score'!$B$29:$B$48,'GAR 2022 score'!K$29:K$48),0)</f>
        <v>0</v>
      </c>
      <c r="W27" s="21">
        <f>ROUND(_xlfn.XLOOKUP($L27,$B$51:$B$71,L$51:L$71),0)-ROUND(_xlfn.XLOOKUP($L27,'GAR 2022 score'!$B$29:$B$48,'GAR 2022 score'!L$29:L$48),0)</f>
        <v>0</v>
      </c>
      <c r="AO27" s="74"/>
      <c r="AS27" s="74"/>
    </row>
    <row r="28" spans="1:166" ht="17" customHeight="1">
      <c r="A28" s="165">
        <f>_xlfn.XLOOKUP(B28,'Global sales'!$K$3:$K$30,'Global sales'!$L$3:$L$30,0)</f>
        <v>2</v>
      </c>
      <c r="B28" s="174" t="s">
        <v>69</v>
      </c>
      <c r="C28" s="177">
        <f t="shared" si="93"/>
        <v>35</v>
      </c>
      <c r="D28" s="155">
        <f t="shared" si="94"/>
        <v>73.599999999999994</v>
      </c>
      <c r="E28" s="157">
        <f t="shared" si="95"/>
        <v>36.333333333333336</v>
      </c>
      <c r="F28" s="157">
        <f t="shared" si="96"/>
        <v>48.31111111111111</v>
      </c>
      <c r="G28" s="74"/>
      <c r="H28" s="74"/>
      <c r="I28" s="165" t="s">
        <v>107</v>
      </c>
      <c r="J28" s="165" t="s">
        <v>107</v>
      </c>
      <c r="K28" s="74"/>
      <c r="L28" s="165" t="str">
        <f t="shared" si="97"/>
        <v>BYD</v>
      </c>
      <c r="M28" s="21">
        <f>ROUND(_xlfn.XLOOKUP($L28,$B$51:$B$71,M$51:M$71),0)-ROUND(_xlfn.XLOOKUP($L28,'GAR 2022 score'!$B$29:$B$49,'GAR 2022 score'!$M$29:$M$49),0)</f>
        <v>-3</v>
      </c>
      <c r="N28" s="21">
        <f>ROUND(_xlfn.XLOOKUP($L28,$B$51:$B$71,C$51:C$71),0)-ROUND(_xlfn.XLOOKUP($L28,'GAR 2022 score'!$B$29:$B$48,'GAR 2022 score'!C$29:C$48),0)</f>
        <v>7</v>
      </c>
      <c r="O28" s="21">
        <f>ROUND(_xlfn.XLOOKUP($L28,$B$51:$B$71,D$51:D$71),0)-ROUND(_xlfn.XLOOKUP($L28,'GAR 2022 score'!$B$29:$B$48,'GAR 2022 score'!D$29:D$48),0)</f>
        <v>-11</v>
      </c>
      <c r="P28" s="21">
        <f>ROUND(_xlfn.XLOOKUP($L28,$B$51:$B$71,E$51:E$71),0)-ROUND(_xlfn.XLOOKUP($L28,'GAR 2022 score'!$B$29:$B$48,'GAR 2022 score'!E$29:E$48),0)</f>
        <v>-5</v>
      </c>
      <c r="Q28" s="21">
        <f>ROUND(_xlfn.XLOOKUP($L28,$B$51:$B$71,F$51:F$71),0)-ROUND(_xlfn.XLOOKUP($L28,'GAR 2022 score'!$B$29:$B$48,'GAR 2022 score'!F$29:F$48),0)</f>
        <v>-13</v>
      </c>
      <c r="R28" s="21">
        <f>ROUND(_xlfn.XLOOKUP($L28,$B$51:$B$71,G$51:G$71),0)-ROUND(_xlfn.XLOOKUP($L28,'GAR 2022 score'!$B$29:$B$48,'GAR 2022 score'!G$29:G$48),0)</f>
        <v>-9</v>
      </c>
      <c r="S28" s="21">
        <f>ROUND(_xlfn.XLOOKUP($L28,$B$51:$B$71,H$51:H$71),0)-ROUND(_xlfn.XLOOKUP($L28,'GAR 2022 score'!$B$29:$B$48,'GAR 2022 score'!H$29:H$48),0)</f>
        <v>0</v>
      </c>
      <c r="T28" s="21">
        <f>ROUND(_xlfn.XLOOKUP($L28,$B$51:$B$71,I$51:I$71),0)-ROUND(_xlfn.XLOOKUP($L28,'GAR 2022 score'!$B$29:$B$48,'GAR 2022 score'!I$29:I$48),0)</f>
        <v>0</v>
      </c>
      <c r="U28" s="21">
        <f>ROUND(_xlfn.XLOOKUP($L28,$B$51:$B$71,J$51:J$71),0)-ROUND(_xlfn.XLOOKUP($L28,'GAR 2022 score'!$B$29:$B$48,'GAR 2022 score'!J$29:J$48),0)</f>
        <v>6</v>
      </c>
      <c r="V28" s="21">
        <f>ROUND(_xlfn.XLOOKUP($L28,$B$51:$B$71,K$51:K$71),0)-ROUND(_xlfn.XLOOKUP($L28,'GAR 2022 score'!$B$29:$B$48,'GAR 2022 score'!K$29:K$48),0)</f>
        <v>-11</v>
      </c>
      <c r="W28" s="21">
        <f>ROUND(_xlfn.XLOOKUP($L28,$B$51:$B$71,L$51:L$71),0)-ROUND(_xlfn.XLOOKUP($L28,'GAR 2022 score'!$B$29:$B$48,'GAR 2022 score'!L$29:L$48),0)</f>
        <v>0</v>
      </c>
      <c r="AO28" s="74"/>
      <c r="AS28" s="74"/>
    </row>
    <row r="29" spans="1:166">
      <c r="A29" s="165">
        <f>_xlfn.XLOOKUP(B29,'Global sales'!$K$3:$K$30,'Global sales'!$L$3:$L$30,0)</f>
        <v>18</v>
      </c>
      <c r="B29" s="174" t="s">
        <v>84</v>
      </c>
      <c r="C29" s="177">
        <f t="shared" si="93"/>
        <v>18.5</v>
      </c>
      <c r="D29" s="155">
        <f t="shared" si="94"/>
        <v>57.4</v>
      </c>
      <c r="E29" s="157">
        <f t="shared" si="95"/>
        <v>25</v>
      </c>
      <c r="F29" s="157">
        <f t="shared" si="96"/>
        <v>33.633333333333333</v>
      </c>
      <c r="G29" s="74"/>
      <c r="H29" s="74"/>
      <c r="I29" s="165" t="s">
        <v>68</v>
      </c>
      <c r="J29" s="165" t="s">
        <v>68</v>
      </c>
      <c r="K29" s="74"/>
      <c r="L29" s="165" t="str">
        <f t="shared" si="97"/>
        <v>BMW</v>
      </c>
      <c r="M29" s="21">
        <f>ROUND(_xlfn.XLOOKUP($L29,$B$51:$B$71,M$51:M$71),0)-ROUND(_xlfn.XLOOKUP($L29,'GAR 2022 score'!$B$29:$B$49,'GAR 2022 score'!$M$29:$M$49),0)</f>
        <v>1</v>
      </c>
      <c r="N29" s="21">
        <f>ROUND(_xlfn.XLOOKUP($L29,$B$51:$B$71,C$51:C$71),0)-ROUND(_xlfn.XLOOKUP($L29,'GAR 2022 score'!$B$29:$B$48,'GAR 2022 score'!C$29:C$48),0)</f>
        <v>5</v>
      </c>
      <c r="O29" s="21">
        <f>ROUND(_xlfn.XLOOKUP($L29,$B$51:$B$71,D$51:D$71),0)-ROUND(_xlfn.XLOOKUP($L29,'GAR 2022 score'!$B$29:$B$48,'GAR 2022 score'!D$29:D$48),0)</f>
        <v>5</v>
      </c>
      <c r="P29" s="21">
        <f>ROUND(_xlfn.XLOOKUP($L29,$B$51:$B$71,E$51:E$71),0)-ROUND(_xlfn.XLOOKUP($L29,'GAR 2022 score'!$B$29:$B$48,'GAR 2022 score'!E$29:E$48),0)</f>
        <v>1</v>
      </c>
      <c r="Q29" s="21">
        <f>ROUND(_xlfn.XLOOKUP($L29,$B$51:$B$71,F$51:F$71),0)-ROUND(_xlfn.XLOOKUP($L29,'GAR 2022 score'!$B$29:$B$48,'GAR 2022 score'!F$29:F$48),0)</f>
        <v>2</v>
      </c>
      <c r="R29" s="21">
        <f>ROUND(_xlfn.XLOOKUP($L29,$B$51:$B$71,G$51:G$71),0)-ROUND(_xlfn.XLOOKUP($L29,'GAR 2022 score'!$B$29:$B$48,'GAR 2022 score'!G$29:G$48),0)</f>
        <v>14</v>
      </c>
      <c r="S29" s="21">
        <f>ROUND(_xlfn.XLOOKUP($L29,$B$51:$B$71,H$51:H$71),0)-ROUND(_xlfn.XLOOKUP($L29,'GAR 2022 score'!$B$29:$B$48,'GAR 2022 score'!H$29:H$48),0)</f>
        <v>0</v>
      </c>
      <c r="T29" s="21">
        <f>ROUND(_xlfn.XLOOKUP($L29,$B$51:$B$71,I$51:I$71),0)-ROUND(_xlfn.XLOOKUP($L29,'GAR 2022 score'!$B$29:$B$48,'GAR 2022 score'!I$29:I$48),0)</f>
        <v>1</v>
      </c>
      <c r="U29" s="21">
        <f>ROUND(_xlfn.XLOOKUP($L29,$B$51:$B$71,J$51:J$71),0)-ROUND(_xlfn.XLOOKUP($L29,'GAR 2022 score'!$B$29:$B$48,'GAR 2022 score'!J$29:J$48),0)</f>
        <v>12</v>
      </c>
      <c r="V29" s="21">
        <f>ROUND(_xlfn.XLOOKUP($L29,$B$51:$B$71,K$51:K$71),0)-ROUND(_xlfn.XLOOKUP($L29,'GAR 2022 score'!$B$29:$B$48,'GAR 2022 score'!K$29:K$48),0)</f>
        <v>-3</v>
      </c>
      <c r="W29" s="21">
        <f>ROUND(_xlfn.XLOOKUP($L29,$B$51:$B$71,L$51:L$71),0)-ROUND(_xlfn.XLOOKUP($L29,'GAR 2022 score'!$B$29:$B$48,'GAR 2022 score'!L$29:L$48),0)</f>
        <v>-20</v>
      </c>
      <c r="AO29" s="74"/>
      <c r="AS29" s="74"/>
    </row>
    <row r="30" spans="1:166">
      <c r="A30" s="165">
        <f>_xlfn.XLOOKUP(B30,'Global sales'!$K$3:$K$30,'Global sales'!$L$3:$L$30,0)</f>
        <v>4</v>
      </c>
      <c r="B30" s="174" t="s">
        <v>74</v>
      </c>
      <c r="C30" s="177">
        <f t="shared" si="93"/>
        <v>38.5</v>
      </c>
      <c r="D30" s="155">
        <f t="shared" si="94"/>
        <v>39.200000000000003</v>
      </c>
      <c r="E30" s="157">
        <f t="shared" si="95"/>
        <v>69</v>
      </c>
      <c r="F30" s="157">
        <f t="shared" si="96"/>
        <v>48.9</v>
      </c>
      <c r="G30" s="74"/>
      <c r="H30" s="74"/>
      <c r="I30" s="165" t="s">
        <v>72</v>
      </c>
      <c r="J30" s="165" t="s">
        <v>72</v>
      </c>
      <c r="K30" s="74"/>
      <c r="L30" s="165" t="str">
        <f t="shared" si="97"/>
        <v>Mercedes-Benz</v>
      </c>
      <c r="M30" s="21">
        <f>ROUND(_xlfn.XLOOKUP($L30,$B$51:$B$71,M$51:M$71),0)-ROUND(_xlfn.XLOOKUP($L30,'GAR 2022 score'!$B$29:$B$49,'GAR 2022 score'!$M$29:$M$49),0)</f>
        <v>7</v>
      </c>
      <c r="N30" s="21">
        <f>ROUND(_xlfn.XLOOKUP($L30,$B$51:$B$71,C$51:C$71),0)-ROUND(_xlfn.XLOOKUP($L30,'GAR 2022 score'!$B$29:$B$48,'GAR 2022 score'!C$29:C$48),0)</f>
        <v>5</v>
      </c>
      <c r="O30" s="21">
        <f>ROUND(_xlfn.XLOOKUP($L30,$B$51:$B$71,D$51:D$71),0)-ROUND(_xlfn.XLOOKUP($L30,'GAR 2022 score'!$B$29:$B$48,'GAR 2022 score'!D$29:D$48),0)</f>
        <v>-13</v>
      </c>
      <c r="P30" s="21">
        <f>ROUND(_xlfn.XLOOKUP($L30,$B$51:$B$71,E$51:E$71),0)-ROUND(_xlfn.XLOOKUP($L30,'GAR 2022 score'!$B$29:$B$48,'GAR 2022 score'!E$29:E$48),0)</f>
        <v>-5</v>
      </c>
      <c r="Q30" s="21">
        <f>ROUND(_xlfn.XLOOKUP($L30,$B$51:$B$71,F$51:F$71),0)-ROUND(_xlfn.XLOOKUP($L30,'GAR 2022 score'!$B$29:$B$48,'GAR 2022 score'!F$29:F$48),0)</f>
        <v>2</v>
      </c>
      <c r="R30" s="21">
        <f>ROUND(_xlfn.XLOOKUP($L30,$B$51:$B$71,G$51:G$71),0)-ROUND(_xlfn.XLOOKUP($L30,'GAR 2022 score'!$B$29:$B$48,'GAR 2022 score'!G$29:G$48),0)</f>
        <v>9</v>
      </c>
      <c r="S30" s="21">
        <f>ROUND(_xlfn.XLOOKUP($L30,$B$51:$B$71,H$51:H$71),0)-ROUND(_xlfn.XLOOKUP($L30,'GAR 2022 score'!$B$29:$B$48,'GAR 2022 score'!H$29:H$48),0)</f>
        <v>50</v>
      </c>
      <c r="T30" s="21">
        <f>ROUND(_xlfn.XLOOKUP($L30,$B$51:$B$71,I$51:I$71),0)-ROUND(_xlfn.XLOOKUP($L30,'GAR 2022 score'!$B$29:$B$48,'GAR 2022 score'!I$29:I$48),0)</f>
        <v>50</v>
      </c>
      <c r="U30" s="21">
        <f>ROUND(_xlfn.XLOOKUP($L30,$B$51:$B$71,J$51:J$71),0)-ROUND(_xlfn.XLOOKUP($L30,'GAR 2022 score'!$B$29:$B$48,'GAR 2022 score'!J$29:J$48),0)</f>
        <v>-6</v>
      </c>
      <c r="V30" s="21">
        <f>ROUND(_xlfn.XLOOKUP($L30,$B$51:$B$71,K$51:K$71),0)-ROUND(_xlfn.XLOOKUP($L30,'GAR 2022 score'!$B$29:$B$48,'GAR 2022 score'!K$29:K$48),0)</f>
        <v>8</v>
      </c>
      <c r="W30" s="21">
        <f>ROUND(_xlfn.XLOOKUP($L30,$B$51:$B$71,L$51:L$71),0)-ROUND(_xlfn.XLOOKUP($L30,'GAR 2022 score'!$B$29:$B$48,'GAR 2022 score'!L$29:L$48),0)</f>
        <v>3</v>
      </c>
      <c r="AO30" s="74"/>
      <c r="AS30" s="74"/>
      <c r="AW30" s="37"/>
    </row>
    <row r="31" spans="1:166">
      <c r="A31" s="165">
        <f>_xlfn.XLOOKUP(B31,'Global sales'!$K$3:$K$30,'Global sales'!$L$3:$L$30,0)</f>
        <v>5</v>
      </c>
      <c r="B31" s="174" t="s">
        <v>89</v>
      </c>
      <c r="C31" s="177">
        <f t="shared" si="93"/>
        <v>3.5</v>
      </c>
      <c r="D31" s="155">
        <f t="shared" si="94"/>
        <v>31.4</v>
      </c>
      <c r="E31" s="157">
        <f t="shared" si="95"/>
        <v>28.666666666666668</v>
      </c>
      <c r="F31" s="157">
        <f t="shared" si="96"/>
        <v>21.188888888888886</v>
      </c>
      <c r="G31" s="74"/>
      <c r="H31" s="74"/>
      <c r="I31" s="165" t="s">
        <v>69</v>
      </c>
      <c r="J31" s="165" t="s">
        <v>69</v>
      </c>
      <c r="K31" s="74"/>
      <c r="L31" s="165" t="str">
        <f t="shared" si="97"/>
        <v>SAIC</v>
      </c>
      <c r="M31" s="21">
        <f>ROUND(_xlfn.XLOOKUP($L31,$B$51:$B$71,M$51:M$71),0)-ROUND(_xlfn.XLOOKUP($L31,'GAR 2022 score'!$B$29:$B$49,'GAR 2022 score'!$M$29:$M$49),0)</f>
        <v>7</v>
      </c>
      <c r="N31" s="21">
        <f>ROUND(_xlfn.XLOOKUP($L31,$B$51:$B$71,C$51:C$71),0)-ROUND(_xlfn.XLOOKUP($L31,'GAR 2022 score'!$B$29:$B$48,'GAR 2022 score'!C$29:C$48),0)</f>
        <v>9</v>
      </c>
      <c r="O31" s="21">
        <f>ROUND(_xlfn.XLOOKUP($L31,$B$51:$B$71,D$51:D$71),0)-ROUND(_xlfn.XLOOKUP($L31,'GAR 2022 score'!$B$29:$B$48,'GAR 2022 score'!D$29:D$48),0)</f>
        <v>0</v>
      </c>
      <c r="P31" s="21">
        <f>ROUND(_xlfn.XLOOKUP($L31,$B$51:$B$71,E$51:E$71),0)-ROUND(_xlfn.XLOOKUP($L31,'GAR 2022 score'!$B$29:$B$48,'GAR 2022 score'!E$29:E$48),0)</f>
        <v>7</v>
      </c>
      <c r="Q31" s="21">
        <f>ROUND(_xlfn.XLOOKUP($L31,$B$51:$B$71,F$51:F$71),0)-ROUND(_xlfn.XLOOKUP($L31,'GAR 2022 score'!$B$29:$B$48,'GAR 2022 score'!F$29:F$48),0)</f>
        <v>13</v>
      </c>
      <c r="R31" s="21">
        <f>ROUND(_xlfn.XLOOKUP($L31,$B$51:$B$71,G$51:G$71),0)-ROUND(_xlfn.XLOOKUP($L31,'GAR 2022 score'!$B$29:$B$48,'GAR 2022 score'!G$29:G$48),0)</f>
        <v>26</v>
      </c>
      <c r="S31" s="21">
        <f>ROUND(_xlfn.XLOOKUP($L31,$B$51:$B$71,H$51:H$71),0)-ROUND(_xlfn.XLOOKUP($L31,'GAR 2022 score'!$B$29:$B$48,'GAR 2022 score'!H$29:H$48),0)</f>
        <v>0</v>
      </c>
      <c r="T31" s="21">
        <f>ROUND(_xlfn.XLOOKUP($L31,$B$51:$B$71,I$51:I$71),0)-ROUND(_xlfn.XLOOKUP($L31,'GAR 2022 score'!$B$29:$B$48,'GAR 2022 score'!I$29:I$48),0)</f>
        <v>-7</v>
      </c>
      <c r="U31" s="21">
        <f>ROUND(_xlfn.XLOOKUP($L31,$B$51:$B$71,J$51:J$71),0)-ROUND(_xlfn.XLOOKUP($L31,'GAR 2022 score'!$B$29:$B$48,'GAR 2022 score'!J$29:J$48),0)</f>
        <v>36</v>
      </c>
      <c r="V31" s="21">
        <f>ROUND(_xlfn.XLOOKUP($L31,$B$51:$B$71,K$51:K$71),0)-ROUND(_xlfn.XLOOKUP($L31,'GAR 2022 score'!$B$29:$B$48,'GAR 2022 score'!K$29:K$48),0)</f>
        <v>-16</v>
      </c>
      <c r="W31" s="21">
        <f>ROUND(_xlfn.XLOOKUP($L31,$B$51:$B$71,L$51:L$71),0)-ROUND(_xlfn.XLOOKUP($L31,'GAR 2022 score'!$B$29:$B$48,'GAR 2022 score'!L$29:L$48),0)</f>
        <v>0</v>
      </c>
      <c r="AO31" s="74"/>
      <c r="AS31" s="74"/>
      <c r="AW31" s="37"/>
    </row>
    <row r="32" spans="1:166">
      <c r="A32" s="165">
        <f>_xlfn.XLOOKUP(B32,'Global sales'!$K$3:$K$30,'Global sales'!$L$3:$L$30,0)</f>
        <v>3</v>
      </c>
      <c r="B32" s="174" t="s">
        <v>70</v>
      </c>
      <c r="C32" s="177">
        <f t="shared" si="93"/>
        <v>11.5</v>
      </c>
      <c r="D32" s="155">
        <f t="shared" si="94"/>
        <v>47.4</v>
      </c>
      <c r="E32" s="157">
        <f t="shared" si="95"/>
        <v>50.666666666666664</v>
      </c>
      <c r="F32" s="157">
        <f t="shared" si="96"/>
        <v>36.522222222222219</v>
      </c>
      <c r="G32" s="74"/>
      <c r="H32" s="74"/>
      <c r="I32" s="165" t="s">
        <v>74</v>
      </c>
      <c r="J32" s="165" t="s">
        <v>74</v>
      </c>
      <c r="K32" s="74"/>
      <c r="L32" s="165" t="str">
        <f t="shared" si="97"/>
        <v>Stellantis</v>
      </c>
      <c r="M32" s="21">
        <f>ROUND(_xlfn.XLOOKUP($L32,$B$51:$B$71,M$51:M$71),0)-ROUND(_xlfn.XLOOKUP($L32,'GAR 2022 score'!$B$29:$B$49,'GAR 2022 score'!$M$29:$M$49),0)</f>
        <v>-1</v>
      </c>
      <c r="N32" s="21">
        <f>ROUND(_xlfn.XLOOKUP($L32,$B$51:$B$71,C$51:C$71),0)-ROUND(_xlfn.XLOOKUP($L32,'GAR 2022 score'!$B$29:$B$48,'GAR 2022 score'!C$29:C$48),0)</f>
        <v>1</v>
      </c>
      <c r="O32" s="21">
        <f>ROUND(_xlfn.XLOOKUP($L32,$B$51:$B$71,D$51:D$71),0)-ROUND(_xlfn.XLOOKUP($L32,'GAR 2022 score'!$B$29:$B$48,'GAR 2022 score'!D$29:D$48),0)</f>
        <v>-20</v>
      </c>
      <c r="P32" s="21">
        <f>ROUND(_xlfn.XLOOKUP($L32,$B$51:$B$71,E$51:E$71),0)-ROUND(_xlfn.XLOOKUP($L32,'GAR 2022 score'!$B$29:$B$48,'GAR 2022 score'!E$29:E$48),0)</f>
        <v>3</v>
      </c>
      <c r="Q32" s="21">
        <f>ROUND(_xlfn.XLOOKUP($L32,$B$51:$B$71,F$51:F$71),0)-ROUND(_xlfn.XLOOKUP($L32,'GAR 2022 score'!$B$29:$B$48,'GAR 2022 score'!F$29:F$48),0)</f>
        <v>-5</v>
      </c>
      <c r="R32" s="21">
        <f>ROUND(_xlfn.XLOOKUP($L32,$B$51:$B$71,G$51:G$71),0)-ROUND(_xlfn.XLOOKUP($L32,'GAR 2022 score'!$B$29:$B$48,'GAR 2022 score'!G$29:G$48),0)</f>
        <v>7</v>
      </c>
      <c r="S32" s="21">
        <f>ROUND(_xlfn.XLOOKUP($L32,$B$51:$B$71,H$51:H$71),0)-ROUND(_xlfn.XLOOKUP($L32,'GAR 2022 score'!$B$29:$B$48,'GAR 2022 score'!H$29:H$48),0)</f>
        <v>0</v>
      </c>
      <c r="T32" s="21">
        <f>ROUND(_xlfn.XLOOKUP($L32,$B$51:$B$71,I$51:I$71),0)-ROUND(_xlfn.XLOOKUP($L32,'GAR 2022 score'!$B$29:$B$48,'GAR 2022 score'!I$29:I$48),0)</f>
        <v>1</v>
      </c>
      <c r="U32" s="21">
        <f>ROUND(_xlfn.XLOOKUP($L32,$B$51:$B$71,J$51:J$71),0)-ROUND(_xlfn.XLOOKUP($L32,'GAR 2022 score'!$B$29:$B$48,'GAR 2022 score'!J$29:J$48),0)</f>
        <v>19</v>
      </c>
      <c r="V32" s="21">
        <f>ROUND(_xlfn.XLOOKUP($L32,$B$51:$B$71,K$51:K$71),0)-ROUND(_xlfn.XLOOKUP($L32,'GAR 2022 score'!$B$29:$B$48,'GAR 2022 score'!K$29:K$48),0)</f>
        <v>-2</v>
      </c>
      <c r="W32" s="21">
        <f>ROUND(_xlfn.XLOOKUP($L32,$B$51:$B$71,L$51:L$71),0)-ROUND(_xlfn.XLOOKUP($L32,'GAR 2022 score'!$B$29:$B$48,'GAR 2022 score'!L$29:L$48),0)</f>
        <v>0</v>
      </c>
      <c r="AO32" s="74"/>
      <c r="AS32" s="74"/>
      <c r="AW32" s="37"/>
    </row>
    <row r="33" spans="1:49">
      <c r="A33" s="165">
        <f>_xlfn.XLOOKUP(B33,'Global sales'!$K$3:$K$30,'Global sales'!$L$3:$L$30,0)</f>
        <v>6</v>
      </c>
      <c r="B33" s="174" t="s">
        <v>80</v>
      </c>
      <c r="C33" s="177">
        <f t="shared" si="93"/>
        <v>17</v>
      </c>
      <c r="D33" s="155">
        <f t="shared" si="94"/>
        <v>52.6</v>
      </c>
      <c r="E33" s="157">
        <f t="shared" si="95"/>
        <v>33.666666666666664</v>
      </c>
      <c r="F33" s="157">
        <f t="shared" si="96"/>
        <v>34.422222222222217</v>
      </c>
      <c r="G33" s="74"/>
      <c r="H33" s="74"/>
      <c r="I33" s="165" t="s">
        <v>82</v>
      </c>
      <c r="J33" s="165" t="s">
        <v>82</v>
      </c>
      <c r="K33" s="74"/>
      <c r="L33" s="165" t="str">
        <f t="shared" si="97"/>
        <v>VW</v>
      </c>
      <c r="M33" s="21">
        <f>ROUND(_xlfn.XLOOKUP($L33,$B$51:$B$71,M$51:M$71),0)-ROUND(_xlfn.XLOOKUP($L33,'GAR 2022 score'!$B$29:$B$49,'GAR 2022 score'!$M$29:$M$49),0)</f>
        <v>-2</v>
      </c>
      <c r="N33" s="21">
        <f>ROUND(_xlfn.XLOOKUP($L33,$B$51:$B$71,C$51:C$71),0)-ROUND(_xlfn.XLOOKUP($L33,'GAR 2022 score'!$B$29:$B$48,'GAR 2022 score'!C$29:C$48),0)</f>
        <v>1</v>
      </c>
      <c r="O33" s="21">
        <f>ROUND(_xlfn.XLOOKUP($L33,$B$51:$B$71,D$51:D$71),0)-ROUND(_xlfn.XLOOKUP($L33,'GAR 2022 score'!$B$29:$B$48,'GAR 2022 score'!D$29:D$48),0)</f>
        <v>-29</v>
      </c>
      <c r="P33" s="21">
        <f>ROUND(_xlfn.XLOOKUP($L33,$B$51:$B$71,E$51:E$71),0)-ROUND(_xlfn.XLOOKUP($L33,'GAR 2022 score'!$B$29:$B$48,'GAR 2022 score'!E$29:E$48),0)</f>
        <v>1</v>
      </c>
      <c r="Q33" s="21">
        <f>ROUND(_xlfn.XLOOKUP($L33,$B$51:$B$71,F$51:F$71),0)-ROUND(_xlfn.XLOOKUP($L33,'GAR 2022 score'!$B$29:$B$48,'GAR 2022 score'!F$29:F$48),0)</f>
        <v>-1</v>
      </c>
      <c r="R33" s="21">
        <f>ROUND(_xlfn.XLOOKUP($L33,$B$51:$B$71,G$51:G$71),0)-ROUND(_xlfn.XLOOKUP($L33,'GAR 2022 score'!$B$29:$B$48,'GAR 2022 score'!G$29:G$48),0)</f>
        <v>5</v>
      </c>
      <c r="S33" s="21">
        <f>ROUND(_xlfn.XLOOKUP($L33,$B$51:$B$71,H$51:H$71),0)-ROUND(_xlfn.XLOOKUP($L33,'GAR 2022 score'!$B$29:$B$48,'GAR 2022 score'!H$29:H$48),0)</f>
        <v>-2</v>
      </c>
      <c r="T33" s="21">
        <f>ROUND(_xlfn.XLOOKUP($L33,$B$51:$B$71,I$51:I$71),0)-ROUND(_xlfn.XLOOKUP($L33,'GAR 2022 score'!$B$29:$B$48,'GAR 2022 score'!I$29:I$48),0)</f>
        <v>48</v>
      </c>
      <c r="U33" s="21">
        <f>ROUND(_xlfn.XLOOKUP($L33,$B$51:$B$71,J$51:J$71),0)-ROUND(_xlfn.XLOOKUP($L33,'GAR 2022 score'!$B$29:$B$48,'GAR 2022 score'!J$29:J$48),0)</f>
        <v>18</v>
      </c>
      <c r="V33" s="21">
        <f>ROUND(_xlfn.XLOOKUP($L33,$B$51:$B$71,K$51:K$71),0)-ROUND(_xlfn.XLOOKUP($L33,'GAR 2022 score'!$B$29:$B$48,'GAR 2022 score'!K$29:K$48),0)</f>
        <v>-1</v>
      </c>
      <c r="W33" s="21">
        <f>ROUND(_xlfn.XLOOKUP($L33,$B$51:$B$71,L$51:L$71),0)-ROUND(_xlfn.XLOOKUP($L33,'GAR 2022 score'!$B$29:$B$48,'GAR 2022 score'!L$29:L$48),0)</f>
        <v>-18</v>
      </c>
      <c r="AO33" s="74"/>
      <c r="AS33" s="74"/>
      <c r="AW33" s="37"/>
    </row>
    <row r="34" spans="1:49">
      <c r="A34" s="165">
        <f>_xlfn.XLOOKUP(B34,'Global sales'!$K$3:$K$30,'Global sales'!$L$3:$L$30,0)</f>
        <v>8</v>
      </c>
      <c r="B34" s="174" t="s">
        <v>91</v>
      </c>
      <c r="C34" s="177">
        <f t="shared" si="93"/>
        <v>16.5</v>
      </c>
      <c r="D34" s="155">
        <f t="shared" si="94"/>
        <v>20.6</v>
      </c>
      <c r="E34" s="157">
        <f t="shared" si="95"/>
        <v>4.666666666666667</v>
      </c>
      <c r="F34" s="157">
        <f t="shared" si="96"/>
        <v>13.922222222222222</v>
      </c>
      <c r="G34" s="74"/>
      <c r="H34" s="74"/>
      <c r="I34" s="165" t="s">
        <v>76</v>
      </c>
      <c r="J34" s="165" t="s">
        <v>108</v>
      </c>
      <c r="K34" s="74"/>
      <c r="L34" s="165" t="str">
        <f t="shared" si="97"/>
        <v>Geely</v>
      </c>
      <c r="M34" s="21">
        <f>ROUND(_xlfn.XLOOKUP($L34,$B$51:$B$71,M$51:M$71),0)-ROUND(_xlfn.XLOOKUP($L34,'GAR 2022 score'!$B$29:$B$49,'GAR 2022 score'!$M$29:$M$49),0)</f>
        <v>0</v>
      </c>
      <c r="N34" s="21">
        <f>ROUND(_xlfn.XLOOKUP($L34,$B$51:$B$71,C$51:C$71),0)-ROUND(_xlfn.XLOOKUP($L34,'GAR 2022 score'!$B$29:$B$48,'GAR 2022 score'!C$29:C$48),0)</f>
        <v>6</v>
      </c>
      <c r="O34" s="21">
        <f>ROUND(_xlfn.XLOOKUP($L34,$B$51:$B$71,D$51:D$71),0)-ROUND(_xlfn.XLOOKUP($L34,'GAR 2022 score'!$B$29:$B$48,'GAR 2022 score'!D$29:D$48),0)</f>
        <v>-10</v>
      </c>
      <c r="P34" s="21">
        <f>ROUND(_xlfn.XLOOKUP($L34,$B$51:$B$71,E$51:E$71),0)-ROUND(_xlfn.XLOOKUP($L34,'GAR 2022 score'!$B$29:$B$48,'GAR 2022 score'!E$29:E$48),0)</f>
        <v>-8</v>
      </c>
      <c r="Q34" s="21">
        <f>ROUND(_xlfn.XLOOKUP($L34,$B$51:$B$71,F$51:F$71),0)-ROUND(_xlfn.XLOOKUP($L34,'GAR 2022 score'!$B$29:$B$48,'GAR 2022 score'!F$29:F$48),0)</f>
        <v>3</v>
      </c>
      <c r="R34" s="21">
        <f>ROUND(_xlfn.XLOOKUP($L34,$B$51:$B$71,G$51:G$71),0)-ROUND(_xlfn.XLOOKUP($L34,'GAR 2022 score'!$B$29:$B$48,'GAR 2022 score'!G$29:G$48),0)</f>
        <v>-17</v>
      </c>
      <c r="S34" s="21">
        <f>ROUND(_xlfn.XLOOKUP($L34,$B$51:$B$71,H$51:H$71),0)-ROUND(_xlfn.XLOOKUP($L34,'GAR 2022 score'!$B$29:$B$48,'GAR 2022 score'!H$29:H$48),0)</f>
        <v>-2</v>
      </c>
      <c r="T34" s="21">
        <f>ROUND(_xlfn.XLOOKUP($L34,$B$51:$B$71,I$51:I$71),0)-ROUND(_xlfn.XLOOKUP($L34,'GAR 2022 score'!$B$29:$B$48,'GAR 2022 score'!I$29:I$48),0)</f>
        <v>-2</v>
      </c>
      <c r="U34" s="21">
        <f>ROUND(_xlfn.XLOOKUP($L34,$B$51:$B$71,J$51:J$71),0)-ROUND(_xlfn.XLOOKUP($L34,'GAR 2022 score'!$B$29:$B$48,'GAR 2022 score'!J$29:J$48),0)</f>
        <v>16</v>
      </c>
      <c r="V34" s="21">
        <f>ROUND(_xlfn.XLOOKUP($L34,$B$51:$B$71,K$51:K$71),0)-ROUND(_xlfn.XLOOKUP($L34,'GAR 2022 score'!$B$29:$B$48,'GAR 2022 score'!K$29:K$48),0)</f>
        <v>-1</v>
      </c>
      <c r="W34" s="21">
        <f>ROUND(_xlfn.XLOOKUP($L34,$B$51:$B$71,L$51:L$71),0)-ROUND(_xlfn.XLOOKUP($L34,'GAR 2022 score'!$B$29:$B$48,'GAR 2022 score'!L$29:L$48),0)</f>
        <v>4</v>
      </c>
      <c r="AO34" s="74"/>
      <c r="AS34" s="74"/>
      <c r="AW34" s="37"/>
    </row>
    <row r="35" spans="1:49">
      <c r="A35" s="165">
        <f>_xlfn.XLOOKUP(B35,'Global sales'!$K$3:$K$30,'Global sales'!$L$3:$L$30,0)</f>
        <v>7</v>
      </c>
      <c r="B35" s="174" t="s">
        <v>99</v>
      </c>
      <c r="C35" s="177">
        <f t="shared" si="93"/>
        <v>0</v>
      </c>
      <c r="D35" s="155">
        <f>AVERAGE(ROUND(H59,0),ROUND(I59,0))</f>
        <v>0</v>
      </c>
      <c r="E35" s="157">
        <f t="shared" si="95"/>
        <v>12</v>
      </c>
      <c r="F35" s="157">
        <f t="shared" si="96"/>
        <v>4</v>
      </c>
      <c r="G35" s="74"/>
      <c r="H35" s="74"/>
      <c r="I35" s="165" t="s">
        <v>81</v>
      </c>
      <c r="J35" s="165" t="s">
        <v>81</v>
      </c>
      <c r="K35" s="74"/>
      <c r="L35" s="165" t="str">
        <f t="shared" si="97"/>
        <v>Changan</v>
      </c>
      <c r="M35" s="21">
        <f>ROUND(_xlfn.XLOOKUP($L35,$B$51:$B$71,M$51:M$71),0)-ROUND(_xlfn.XLOOKUP($L35,'GAR 2022 score'!$B$29:$B$49,'GAR 2022 score'!$M$29:$M$49),0)</f>
        <v>6</v>
      </c>
      <c r="N35" s="21">
        <f>ROUND(_xlfn.XLOOKUP($L35,$B$51:$B$71,C$51:C$71),0)-ROUND(_xlfn.XLOOKUP($L35,'GAR 2022 score'!$B$29:$B$48,'GAR 2022 score'!C$29:C$48),0)</f>
        <v>5</v>
      </c>
      <c r="O35" s="21">
        <f>ROUND(_xlfn.XLOOKUP($L35,$B$51:$B$71,D$51:D$71),0)-ROUND(_xlfn.XLOOKUP($L35,'GAR 2022 score'!$B$29:$B$48,'GAR 2022 score'!D$29:D$48),0)</f>
        <v>5</v>
      </c>
      <c r="P35" s="21">
        <f>ROUND(_xlfn.XLOOKUP($L35,$B$51:$B$71,E$51:E$71),0)-ROUND(_xlfn.XLOOKUP($L35,'GAR 2022 score'!$B$29:$B$48,'GAR 2022 score'!E$29:E$48),0)</f>
        <v>-6</v>
      </c>
      <c r="Q35" s="21">
        <f>ROUND(_xlfn.XLOOKUP($L35,$B$51:$B$71,F$51:F$71),0)-ROUND(_xlfn.XLOOKUP($L35,'GAR 2022 score'!$B$29:$B$48,'GAR 2022 score'!F$29:F$48),0)</f>
        <v>1</v>
      </c>
      <c r="R35" s="21">
        <f>ROUND(_xlfn.XLOOKUP($L35,$B$51:$B$71,G$51:G$71),0)-ROUND(_xlfn.XLOOKUP($L35,'GAR 2022 score'!$B$29:$B$48,'GAR 2022 score'!G$29:G$48),0)</f>
        <v>2</v>
      </c>
      <c r="S35" s="21">
        <f>ROUND(_xlfn.XLOOKUP($L35,$B$51:$B$71,H$51:H$71),0)-ROUND(_xlfn.XLOOKUP($L35,'GAR 2022 score'!$B$29:$B$48,'GAR 2022 score'!H$29:H$48),0)</f>
        <v>0</v>
      </c>
      <c r="T35" s="21">
        <f>ROUND(_xlfn.XLOOKUP($L35,$B$51:$B$71,I$51:I$71),0)-ROUND(_xlfn.XLOOKUP($L35,'GAR 2022 score'!$B$29:$B$48,'GAR 2022 score'!I$29:I$48),0)</f>
        <v>100</v>
      </c>
      <c r="U35" s="21">
        <f>ROUND(_xlfn.XLOOKUP($L35,$B$51:$B$71,J$51:J$71),0)-ROUND(_xlfn.XLOOKUP($L35,'GAR 2022 score'!$B$29:$B$48,'GAR 2022 score'!J$29:J$48),0)</f>
        <v>5</v>
      </c>
      <c r="V35" s="21">
        <f>ROUND(_xlfn.XLOOKUP($L35,$B$51:$B$71,K$51:K$71),0)-ROUND(_xlfn.XLOOKUP($L35,'GAR 2022 score'!$B$29:$B$48,'GAR 2022 score'!K$29:K$48),0)</f>
        <v>-20</v>
      </c>
      <c r="W35" s="21">
        <f>ROUND(_xlfn.XLOOKUP($L35,$B$51:$B$71,L$51:L$71),0)-ROUND(_xlfn.XLOOKUP($L35,'GAR 2022 score'!$B$29:$B$48,'GAR 2022 score'!L$29:L$48),0)</f>
        <v>0</v>
      </c>
      <c r="AO35" s="74"/>
      <c r="AS35" s="74"/>
      <c r="AW35" s="37"/>
    </row>
    <row r="36" spans="1:49">
      <c r="A36" s="165">
        <f>_xlfn.XLOOKUP(B36,'Global sales'!$K$3:$K$30,'Global sales'!$L$3:$L$30,0)</f>
        <v>9</v>
      </c>
      <c r="B36" s="174" t="s">
        <v>65</v>
      </c>
      <c r="C36" s="177">
        <f t="shared" si="93"/>
        <v>36</v>
      </c>
      <c r="D36" s="155">
        <f t="shared" ref="D36:D47" si="98">AVERAGE(ROUND(E60,0),ROUND(F60,0),ROUND(G60,0),ROUND(H60,0),ROUND(I60,0))</f>
        <v>82</v>
      </c>
      <c r="E36" s="157">
        <f t="shared" si="95"/>
        <v>53.666666666666664</v>
      </c>
      <c r="F36" s="157">
        <f t="shared" si="96"/>
        <v>57.222222222222221</v>
      </c>
      <c r="G36" s="74"/>
      <c r="H36" s="74"/>
      <c r="I36" s="165" t="s">
        <v>71</v>
      </c>
      <c r="J36" s="165" t="s">
        <v>71</v>
      </c>
      <c r="K36" s="74"/>
      <c r="L36" s="165" t="str">
        <f t="shared" si="97"/>
        <v>Renault</v>
      </c>
      <c r="M36" s="21">
        <f>ROUND(_xlfn.XLOOKUP($L36,$B$51:$B$71,M$51:M$71),0)-ROUND(_xlfn.XLOOKUP($L36,'GAR 2022 score'!$B$29:$B$49,'GAR 2022 score'!$M$29:$M$49),0)</f>
        <v>-5</v>
      </c>
      <c r="N36" s="21">
        <f>ROUND(_xlfn.XLOOKUP($L36,$B$51:$B$71,C$51:C$71),0)-ROUND(_xlfn.XLOOKUP($L36,'GAR 2022 score'!$B$29:$B$48,'GAR 2022 score'!C$29:C$48),0)</f>
        <v>-1</v>
      </c>
      <c r="O36" s="21">
        <f>ROUND(_xlfn.XLOOKUP($L36,$B$51:$B$71,D$51:D$71),0)-ROUND(_xlfn.XLOOKUP($L36,'GAR 2022 score'!$B$29:$B$48,'GAR 2022 score'!D$29:D$48),0)</f>
        <v>-1</v>
      </c>
      <c r="P36" s="21">
        <f>ROUND(_xlfn.XLOOKUP($L36,$B$51:$B$71,E$51:E$71),0)-ROUND(_xlfn.XLOOKUP($L36,'GAR 2022 score'!$B$29:$B$48,'GAR 2022 score'!E$29:E$48),0)</f>
        <v>-8</v>
      </c>
      <c r="Q36" s="21">
        <f>ROUND(_xlfn.XLOOKUP($L36,$B$51:$B$71,F$51:F$71),0)-ROUND(_xlfn.XLOOKUP($L36,'GAR 2022 score'!$B$29:$B$48,'GAR 2022 score'!F$29:F$48),0)</f>
        <v>2</v>
      </c>
      <c r="R36" s="21">
        <f>ROUND(_xlfn.XLOOKUP($L36,$B$51:$B$71,G$51:G$71),0)-ROUND(_xlfn.XLOOKUP($L36,'GAR 2022 score'!$B$29:$B$48,'GAR 2022 score'!G$29:G$48),0)</f>
        <v>-5</v>
      </c>
      <c r="S36" s="21">
        <f>ROUND(_xlfn.XLOOKUP($L36,$B$51:$B$71,H$51:H$71),0)-ROUND(_xlfn.XLOOKUP($L36,'GAR 2022 score'!$B$29:$B$48,'GAR 2022 score'!H$29:H$48),0)</f>
        <v>0</v>
      </c>
      <c r="T36" s="21">
        <f>ROUND(_xlfn.XLOOKUP($L36,$B$51:$B$71,I$51:I$71),0)-ROUND(_xlfn.XLOOKUP($L36,'GAR 2022 score'!$B$29:$B$48,'GAR 2022 score'!I$29:I$48),0)</f>
        <v>5</v>
      </c>
      <c r="U36" s="21">
        <f>ROUND(_xlfn.XLOOKUP($L36,$B$51:$B$71,J$51:J$71),0)-ROUND(_xlfn.XLOOKUP($L36,'GAR 2022 score'!$B$29:$B$48,'GAR 2022 score'!J$29:J$48),0)</f>
        <v>-16</v>
      </c>
      <c r="V36" s="21">
        <f>ROUND(_xlfn.XLOOKUP($L36,$B$51:$B$71,K$51:K$71),0)-ROUND(_xlfn.XLOOKUP($L36,'GAR 2022 score'!$B$29:$B$48,'GAR 2022 score'!K$29:K$48),0)</f>
        <v>-11</v>
      </c>
      <c r="W36" s="21">
        <f>ROUND(_xlfn.XLOOKUP($L36,$B$51:$B$71,L$51:L$71),0)-ROUND(_xlfn.XLOOKUP($L36,'GAR 2022 score'!$B$29:$B$48,'GAR 2022 score'!L$29:L$48),0)</f>
        <v>-13</v>
      </c>
      <c r="AO36" s="74"/>
      <c r="AS36" s="74"/>
      <c r="AW36" s="37"/>
    </row>
    <row r="37" spans="1:49">
      <c r="A37" s="165">
        <f>_xlfn.XLOOKUP(B37,'Global sales'!$K$3:$K$30,'Global sales'!$L$3:$L$30,0)</f>
        <v>15</v>
      </c>
      <c r="B37" s="174" t="s">
        <v>68</v>
      </c>
      <c r="C37" s="177">
        <f t="shared" si="93"/>
        <v>70</v>
      </c>
      <c r="D37" s="155">
        <f t="shared" si="98"/>
        <v>35.6</v>
      </c>
      <c r="E37" s="157">
        <f t="shared" si="95"/>
        <v>46</v>
      </c>
      <c r="F37" s="157">
        <f t="shared" si="96"/>
        <v>50.533333333333331</v>
      </c>
      <c r="G37" s="74"/>
      <c r="H37" s="74"/>
      <c r="I37" s="165" t="s">
        <v>91</v>
      </c>
      <c r="J37" s="165" t="s">
        <v>91</v>
      </c>
      <c r="K37" s="74"/>
      <c r="L37" s="165" t="str">
        <f t="shared" si="97"/>
        <v>GM</v>
      </c>
      <c r="M37" s="21">
        <f>ROUND(_xlfn.XLOOKUP($L37,$B$51:$B$71,M$51:M$71),0)-ROUND(_xlfn.XLOOKUP($L37,'GAR 2022 score'!$B$29:$B$49,'GAR 2022 score'!$M$29:$M$49),0)</f>
        <v>-9</v>
      </c>
      <c r="N37" s="21">
        <f>ROUND(_xlfn.XLOOKUP($L37,$B$51:$B$71,C$51:C$71),0)-ROUND(_xlfn.XLOOKUP($L37,'GAR 2022 score'!$B$29:$B$48,'GAR 2022 score'!C$29:C$48),0)</f>
        <v>2</v>
      </c>
      <c r="O37" s="21">
        <f>ROUND(_xlfn.XLOOKUP($L37,$B$51:$B$71,D$51:D$71),0)-ROUND(_xlfn.XLOOKUP($L37,'GAR 2022 score'!$B$29:$B$48,'GAR 2022 score'!D$29:D$48),0)</f>
        <v>-19</v>
      </c>
      <c r="P37" s="21">
        <f>ROUND(_xlfn.XLOOKUP($L37,$B$51:$B$71,E$51:E$71),0)-ROUND(_xlfn.XLOOKUP($L37,'GAR 2022 score'!$B$29:$B$48,'GAR 2022 score'!E$29:E$48),0)</f>
        <v>6</v>
      </c>
      <c r="Q37" s="21">
        <f>ROUND(_xlfn.XLOOKUP($L37,$B$51:$B$71,F$51:F$71),0)-ROUND(_xlfn.XLOOKUP($L37,'GAR 2022 score'!$B$29:$B$48,'GAR 2022 score'!F$29:F$48),0)</f>
        <v>-2</v>
      </c>
      <c r="R37" s="21">
        <f>ROUND(_xlfn.XLOOKUP($L37,$B$51:$B$71,G$51:G$71),0)-ROUND(_xlfn.XLOOKUP($L37,'GAR 2022 score'!$B$29:$B$48,'GAR 2022 score'!G$29:G$48),0)</f>
        <v>-3</v>
      </c>
      <c r="S37" s="21">
        <f>ROUND(_xlfn.XLOOKUP($L37,$B$51:$B$71,H$51:H$71),0)-ROUND(_xlfn.XLOOKUP($L37,'GAR 2022 score'!$B$29:$B$48,'GAR 2022 score'!H$29:H$48),0)</f>
        <v>0</v>
      </c>
      <c r="T37" s="21">
        <f>ROUND(_xlfn.XLOOKUP($L37,$B$51:$B$71,I$51:I$71),0)-ROUND(_xlfn.XLOOKUP($L37,'GAR 2022 score'!$B$29:$B$48,'GAR 2022 score'!I$29:I$48),0)</f>
        <v>-25</v>
      </c>
      <c r="U37" s="21">
        <f>ROUND(_xlfn.XLOOKUP($L37,$B$51:$B$71,J$51:J$71),0)-ROUND(_xlfn.XLOOKUP($L37,'GAR 2022 score'!$B$29:$B$48,'GAR 2022 score'!J$29:J$48),0)</f>
        <v>-9</v>
      </c>
      <c r="V37" s="21">
        <f>ROUND(_xlfn.XLOOKUP($L37,$B$51:$B$71,K$51:K$71),0)-ROUND(_xlfn.XLOOKUP($L37,'GAR 2022 score'!$B$29:$B$48,'GAR 2022 score'!K$29:K$48),0)</f>
        <v>-26</v>
      </c>
      <c r="W37" s="21">
        <f>ROUND(_xlfn.XLOOKUP($L37,$B$51:$B$71,L$51:L$71),0)-ROUND(_xlfn.XLOOKUP($L37,'GAR 2022 score'!$B$29:$B$48,'GAR 2022 score'!L$29:L$48),0)</f>
        <v>-2</v>
      </c>
      <c r="AO37" s="74"/>
      <c r="AS37" s="74"/>
      <c r="AW37" s="37"/>
    </row>
    <row r="38" spans="1:49">
      <c r="A38" s="165">
        <f>_xlfn.XLOOKUP(B38,'Global sales'!$K$3:$K$30,'Global sales'!$L$3:$L$30,0)</f>
        <v>10</v>
      </c>
      <c r="B38" s="174" t="s">
        <v>71</v>
      </c>
      <c r="C38" s="177">
        <f t="shared" si="93"/>
        <v>32.5</v>
      </c>
      <c r="D38" s="155">
        <f t="shared" si="98"/>
        <v>73.599999999999994</v>
      </c>
      <c r="E38" s="157">
        <f t="shared" si="95"/>
        <v>49</v>
      </c>
      <c r="F38" s="157">
        <f t="shared" si="96"/>
        <v>51.699999999999996</v>
      </c>
      <c r="G38" s="74"/>
      <c r="H38" s="74"/>
      <c r="I38" s="165" t="s">
        <v>65</v>
      </c>
      <c r="J38" s="165" t="s">
        <v>65</v>
      </c>
      <c r="K38" s="74"/>
      <c r="L38" s="165" t="str">
        <f t="shared" si="97"/>
        <v>Great Wall</v>
      </c>
      <c r="M38" s="21">
        <f>ROUND(_xlfn.XLOOKUP($L38,$B$51:$B$71,M$51:M$71),0)-ROUND(_xlfn.XLOOKUP($L38,'GAR 2022 score'!$B$29:$B$49,'GAR 2022 score'!$M$29:$M$49),0)</f>
        <v>-3</v>
      </c>
      <c r="N38" s="21">
        <f>ROUND(_xlfn.XLOOKUP($L38,$B$51:$B$71,C$51:C$71),0)-ROUND(_xlfn.XLOOKUP($L38,'GAR 2022 score'!$B$29:$B$48,'GAR 2022 score'!C$29:C$48),0)</f>
        <v>7</v>
      </c>
      <c r="O38" s="21">
        <f>ROUND(_xlfn.XLOOKUP($L38,$B$51:$B$71,D$51:D$71),0)-ROUND(_xlfn.XLOOKUP($L38,'GAR 2022 score'!$B$29:$B$48,'GAR 2022 score'!D$29:D$48),0)</f>
        <v>-29</v>
      </c>
      <c r="P38" s="21">
        <f>ROUND(_xlfn.XLOOKUP($L38,$B$51:$B$71,E$51:E$71),0)-ROUND(_xlfn.XLOOKUP($L38,'GAR 2022 score'!$B$29:$B$48,'GAR 2022 score'!E$29:E$48),0)</f>
        <v>-9</v>
      </c>
      <c r="Q38" s="21">
        <f>ROUND(_xlfn.XLOOKUP($L38,$B$51:$B$71,F$51:F$71),0)-ROUND(_xlfn.XLOOKUP($L38,'GAR 2022 score'!$B$29:$B$48,'GAR 2022 score'!F$29:F$48),0)</f>
        <v>3</v>
      </c>
      <c r="R38" s="21">
        <f>ROUND(_xlfn.XLOOKUP($L38,$B$51:$B$71,G$51:G$71),0)-ROUND(_xlfn.XLOOKUP($L38,'GAR 2022 score'!$B$29:$B$48,'GAR 2022 score'!G$29:G$48),0)</f>
        <v>23</v>
      </c>
      <c r="S38" s="21">
        <f>ROUND(_xlfn.XLOOKUP($L38,$B$51:$B$71,H$51:H$71),0)-ROUND(_xlfn.XLOOKUP($L38,'GAR 2022 score'!$B$29:$B$48,'GAR 2022 score'!H$29:H$48),0)</f>
        <v>0</v>
      </c>
      <c r="T38" s="21">
        <f>ROUND(_xlfn.XLOOKUP($L38,$B$51:$B$71,I$51:I$71),0)-ROUND(_xlfn.XLOOKUP($L38,'GAR 2022 score'!$B$29:$B$48,'GAR 2022 score'!I$29:I$48),0)</f>
        <v>0</v>
      </c>
      <c r="U38" s="21">
        <f>ROUND(_xlfn.XLOOKUP($L38,$B$51:$B$71,J$51:J$71),0)-ROUND(_xlfn.XLOOKUP($L38,'GAR 2022 score'!$B$29:$B$48,'GAR 2022 score'!J$29:J$48),0)</f>
        <v>-3</v>
      </c>
      <c r="V38" s="21">
        <f>ROUND(_xlfn.XLOOKUP($L38,$B$51:$B$71,K$51:K$71),0)-ROUND(_xlfn.XLOOKUP($L38,'GAR 2022 score'!$B$29:$B$48,'GAR 2022 score'!K$29:K$48),0)</f>
        <v>-2</v>
      </c>
      <c r="W38" s="21">
        <f>ROUND(_xlfn.XLOOKUP($L38,$B$51:$B$71,L$51:L$71),0)-ROUND(_xlfn.XLOOKUP($L38,'GAR 2022 score'!$B$29:$B$48,'GAR 2022 score'!L$29:L$48),0)</f>
        <v>0</v>
      </c>
      <c r="AO38" s="74"/>
      <c r="AS38" s="74"/>
      <c r="AW38" s="37"/>
    </row>
    <row r="39" spans="1:49">
      <c r="A39" s="165">
        <f>_xlfn.XLOOKUP(B39,'Global sales'!$K$3:$K$30,'Global sales'!$L$3:$L$30,0)</f>
        <v>19</v>
      </c>
      <c r="B39" s="174" t="s">
        <v>72</v>
      </c>
      <c r="C39" s="177">
        <f t="shared" si="93"/>
        <v>53.5</v>
      </c>
      <c r="D39" s="155">
        <f t="shared" si="98"/>
        <v>45.6</v>
      </c>
      <c r="E39" s="157">
        <f t="shared" si="95"/>
        <v>45.333333333333336</v>
      </c>
      <c r="F39" s="157">
        <f t="shared" si="96"/>
        <v>48.144444444444446</v>
      </c>
      <c r="G39" s="74"/>
      <c r="H39" s="74"/>
      <c r="I39" s="165" t="s">
        <v>94</v>
      </c>
      <c r="J39" s="165" t="s">
        <v>77</v>
      </c>
      <c r="K39" s="74"/>
      <c r="L39" s="165" t="str">
        <f t="shared" si="97"/>
        <v>Ford</v>
      </c>
      <c r="M39" s="21">
        <f>ROUND(_xlfn.XLOOKUP($L39,$B$51:$B$71,M$51:M$71),0)-ROUND(_xlfn.XLOOKUP($L39,'GAR 2022 score'!$B$29:$B$49,'GAR 2022 score'!$M$29:$M$49),0)</f>
        <v>-4</v>
      </c>
      <c r="N39" s="21">
        <f>ROUND(_xlfn.XLOOKUP($L39,$B$51:$B$71,C$51:C$71),0)-ROUND(_xlfn.XLOOKUP($L39,'GAR 2022 score'!$B$29:$B$48,'GAR 2022 score'!C$29:C$48),0)</f>
        <v>0</v>
      </c>
      <c r="O39" s="21">
        <f>ROUND(_xlfn.XLOOKUP($L39,$B$51:$B$71,D$51:D$71),0)-ROUND(_xlfn.XLOOKUP($L39,'GAR 2022 score'!$B$29:$B$48,'GAR 2022 score'!D$29:D$48),0)</f>
        <v>5</v>
      </c>
      <c r="P39" s="21">
        <f>ROUND(_xlfn.XLOOKUP($L39,$B$51:$B$71,E$51:E$71),0)-ROUND(_xlfn.XLOOKUP($L39,'GAR 2022 score'!$B$29:$B$48,'GAR 2022 score'!E$29:E$48),0)</f>
        <v>-3</v>
      </c>
      <c r="Q39" s="21">
        <f>ROUND(_xlfn.XLOOKUP($L39,$B$51:$B$71,F$51:F$71),0)-ROUND(_xlfn.XLOOKUP($L39,'GAR 2022 score'!$B$29:$B$48,'GAR 2022 score'!F$29:F$48),0)</f>
        <v>-1</v>
      </c>
      <c r="R39" s="21">
        <f>ROUND(_xlfn.XLOOKUP($L39,$B$51:$B$71,G$51:G$71),0)-ROUND(_xlfn.XLOOKUP($L39,'GAR 2022 score'!$B$29:$B$48,'GAR 2022 score'!G$29:G$48),0)</f>
        <v>-9</v>
      </c>
      <c r="S39" s="21">
        <f>ROUND(_xlfn.XLOOKUP($L39,$B$51:$B$71,H$51:H$71),0)-ROUND(_xlfn.XLOOKUP($L39,'GAR 2022 score'!$B$29:$B$48,'GAR 2022 score'!H$29:H$48),0)</f>
        <v>0</v>
      </c>
      <c r="T39" s="21">
        <f>ROUND(_xlfn.XLOOKUP($L39,$B$51:$B$71,I$51:I$71),0)-ROUND(_xlfn.XLOOKUP($L39,'GAR 2022 score'!$B$29:$B$48,'GAR 2022 score'!I$29:I$48),0)</f>
        <v>1</v>
      </c>
      <c r="U39" s="21">
        <f>ROUND(_xlfn.XLOOKUP($L39,$B$51:$B$71,J$51:J$71),0)-ROUND(_xlfn.XLOOKUP($L39,'GAR 2022 score'!$B$29:$B$48,'GAR 2022 score'!J$29:J$48),0)</f>
        <v>-17</v>
      </c>
      <c r="V39" s="21">
        <f>ROUND(_xlfn.XLOOKUP($L39,$B$51:$B$71,K$51:K$71),0)-ROUND(_xlfn.XLOOKUP($L39,'GAR 2022 score'!$B$29:$B$48,'GAR 2022 score'!K$29:K$48),0)</f>
        <v>-25</v>
      </c>
      <c r="W39" s="21">
        <f>ROUND(_xlfn.XLOOKUP($L39,$B$51:$B$71,L$51:L$71),0)-ROUND(_xlfn.XLOOKUP($L39,'GAR 2022 score'!$B$29:$B$48,'GAR 2022 score'!L$29:L$48),0)</f>
        <v>11</v>
      </c>
      <c r="AO39" s="74"/>
      <c r="AS39" s="74"/>
      <c r="AW39" s="37"/>
    </row>
    <row r="40" spans="1:49">
      <c r="A40" s="165">
        <f>_xlfn.XLOOKUP(B40,'Global sales'!$K$3:$K$30,'Global sales'!$L$3:$L$30,0)</f>
        <v>13</v>
      </c>
      <c r="B40" s="174" t="s">
        <v>82</v>
      </c>
      <c r="C40" s="177">
        <f t="shared" si="93"/>
        <v>42</v>
      </c>
      <c r="D40" s="155">
        <f t="shared" si="98"/>
        <v>35.6</v>
      </c>
      <c r="E40" s="157">
        <f t="shared" si="95"/>
        <v>39.666666666666664</v>
      </c>
      <c r="F40" s="157">
        <f t="shared" si="96"/>
        <v>39.088888888888881</v>
      </c>
      <c r="G40" s="74"/>
      <c r="H40" s="74"/>
      <c r="I40" s="165" t="s">
        <v>84</v>
      </c>
      <c r="J40" s="165" t="s">
        <v>109</v>
      </c>
      <c r="K40" s="74"/>
      <c r="L40" s="165" t="str">
        <f t="shared" si="97"/>
        <v>Chery</v>
      </c>
      <c r="M40" s="21"/>
      <c r="N40" s="21" t="e">
        <f>ROUND(_xlfn.XLOOKUP($L40,$B$51:$B$71,C$51:C$71),0)-ROUND(_xlfn.XLOOKUP($L40,'GAR 2022 score'!$B$29:$B$48,'GAR 2022 score'!C$29:C$48),0)</f>
        <v>#N/A</v>
      </c>
      <c r="O40" s="21" t="e">
        <f>ROUND(_xlfn.XLOOKUP($L40,$B$51:$B$71,D$51:D$71),0)-ROUND(_xlfn.XLOOKUP($L40,'GAR 2022 score'!$B$29:$B$48,'GAR 2022 score'!D$29:D$48),0)</f>
        <v>#N/A</v>
      </c>
      <c r="P40" s="21" t="e">
        <f>ROUND(_xlfn.XLOOKUP($L40,$B$51:$B$71,E$51:E$71),0)-ROUND(_xlfn.XLOOKUP($L40,'GAR 2022 score'!$B$29:$B$48,'GAR 2022 score'!E$29:E$48),0)</f>
        <v>#N/A</v>
      </c>
      <c r="Q40" s="21" t="e">
        <f>ROUND(_xlfn.XLOOKUP($L40,$B$51:$B$71,F$51:F$71),0)-ROUND(_xlfn.XLOOKUP($L40,'GAR 2022 score'!$B$29:$B$48,'GAR 2022 score'!F$29:F$48),0)</f>
        <v>#N/A</v>
      </c>
      <c r="R40" s="21" t="e">
        <f>ROUND(_xlfn.XLOOKUP($L40,$B$51:$B$71,G$51:G$71),0)-ROUND(_xlfn.XLOOKUP($L40,'GAR 2022 score'!$B$29:$B$48,'GAR 2022 score'!G$29:G$48),0)</f>
        <v>#N/A</v>
      </c>
      <c r="S40" s="21" t="e">
        <f>ROUND(_xlfn.XLOOKUP($L40,$B$51:$B$71,H$51:H$71),0)-ROUND(_xlfn.XLOOKUP($L40,'GAR 2022 score'!$B$29:$B$48,'GAR 2022 score'!H$29:H$48),0)</f>
        <v>#N/A</v>
      </c>
      <c r="T40" s="21" t="e">
        <f>ROUND(_xlfn.XLOOKUP($L40,$B$51:$B$71,I$51:I$71),0)-ROUND(_xlfn.XLOOKUP($L40,'GAR 2022 score'!$B$29:$B$48,'GAR 2022 score'!I$29:I$48),0)</f>
        <v>#N/A</v>
      </c>
      <c r="U40" s="21" t="e">
        <f>ROUND(_xlfn.XLOOKUP($L40,$B$51:$B$71,J$51:J$71),0)-ROUND(_xlfn.XLOOKUP($L40,'GAR 2022 score'!$B$29:$B$48,'GAR 2022 score'!J$29:J$48),0)</f>
        <v>#N/A</v>
      </c>
      <c r="V40" s="21" t="e">
        <f>ROUND(_xlfn.XLOOKUP($L40,$B$51:$B$71,K$51:K$71),0)-ROUND(_xlfn.XLOOKUP($L40,'GAR 2022 score'!$B$29:$B$48,'GAR 2022 score'!K$29:K$48),0)</f>
        <v>#N/A</v>
      </c>
      <c r="W40" s="21" t="e">
        <f>ROUND(_xlfn.XLOOKUP($L40,$B$51:$B$71,L$51:L$71),0)-ROUND(_xlfn.XLOOKUP($L40,'GAR 2022 score'!$B$29:$B$48,'GAR 2022 score'!L$29:L$48),0)</f>
        <v>#N/A</v>
      </c>
      <c r="AO40" s="74"/>
      <c r="AS40" s="74"/>
      <c r="AW40" s="37"/>
    </row>
    <row r="41" spans="1:49">
      <c r="A41" s="165">
        <f>_xlfn.XLOOKUP(B41,'Global sales'!$K$3:$K$30,'Global sales'!$L$3:$L$30,0)</f>
        <v>11</v>
      </c>
      <c r="B41" s="174" t="s">
        <v>76</v>
      </c>
      <c r="C41" s="177">
        <f t="shared" si="93"/>
        <v>57</v>
      </c>
      <c r="D41" s="155">
        <f t="shared" si="98"/>
        <v>33</v>
      </c>
      <c r="E41" s="157">
        <f t="shared" si="95"/>
        <v>36.333333333333336</v>
      </c>
      <c r="F41" s="157">
        <f t="shared" si="96"/>
        <v>42.111111111111114</v>
      </c>
      <c r="G41" s="74"/>
      <c r="H41" s="74"/>
      <c r="I41" s="165" t="s">
        <v>80</v>
      </c>
      <c r="J41" s="165" t="s">
        <v>80</v>
      </c>
      <c r="K41" s="74"/>
      <c r="L41" s="165" t="str">
        <f t="shared" si="97"/>
        <v>Hyundai Kia</v>
      </c>
      <c r="M41" s="21">
        <f>ROUND(_xlfn.XLOOKUP($L41,$B$51:$B$71,M$51:M$71),0)-ROUND(_xlfn.XLOOKUP($L41,'GAR 2022 score'!$B$29:$B$49,'GAR 2022 score'!$M$29:$M$49),0)</f>
        <v>-4</v>
      </c>
      <c r="N41" s="21">
        <f>ROUND(_xlfn.XLOOKUP($L41,$B$51:$B$71,C$51:C$71),0)-ROUND(_xlfn.XLOOKUP($L41,'GAR 2022 score'!$B$29:$B$48,'GAR 2022 score'!C$29:C$48),0)</f>
        <v>-1</v>
      </c>
      <c r="O41" s="21">
        <f>ROUND(_xlfn.XLOOKUP($L41,$B$51:$B$71,D$51:D$71),0)-ROUND(_xlfn.XLOOKUP($L41,'GAR 2022 score'!$B$29:$B$48,'GAR 2022 score'!D$29:D$48),0)</f>
        <v>-33</v>
      </c>
      <c r="P41" s="21">
        <f>ROUND(_xlfn.XLOOKUP($L41,$B$51:$B$71,E$51:E$71),0)-ROUND(_xlfn.XLOOKUP($L41,'GAR 2022 score'!$B$29:$B$48,'GAR 2022 score'!E$29:E$48),0)</f>
        <v>-6</v>
      </c>
      <c r="Q41" s="21">
        <f>ROUND(_xlfn.XLOOKUP($L41,$B$51:$B$71,F$51:F$71),0)-ROUND(_xlfn.XLOOKUP($L41,'GAR 2022 score'!$B$29:$B$48,'GAR 2022 score'!F$29:F$48),0)</f>
        <v>4</v>
      </c>
      <c r="R41" s="21">
        <f>ROUND(_xlfn.XLOOKUP($L41,$B$51:$B$71,G$51:G$71),0)-ROUND(_xlfn.XLOOKUP($L41,'GAR 2022 score'!$B$29:$B$48,'GAR 2022 score'!G$29:G$48),0)</f>
        <v>-2</v>
      </c>
      <c r="S41" s="21">
        <f>ROUND(_xlfn.XLOOKUP($L41,$B$51:$B$71,H$51:H$71),0)-ROUND(_xlfn.XLOOKUP($L41,'GAR 2022 score'!$B$29:$B$48,'GAR 2022 score'!H$29:H$48),0)</f>
        <v>0</v>
      </c>
      <c r="T41" s="21">
        <f>ROUND(_xlfn.XLOOKUP($L41,$B$51:$B$71,I$51:I$71),0)-ROUND(_xlfn.XLOOKUP($L41,'GAR 2022 score'!$B$29:$B$48,'GAR 2022 score'!I$29:I$48),0)</f>
        <v>0</v>
      </c>
      <c r="U41" s="21">
        <f>ROUND(_xlfn.XLOOKUP($L41,$B$51:$B$71,J$51:J$71),0)-ROUND(_xlfn.XLOOKUP($L41,'GAR 2022 score'!$B$29:$B$48,'GAR 2022 score'!J$29:J$48),0)</f>
        <v>15</v>
      </c>
      <c r="V41" s="21">
        <f>ROUND(_xlfn.XLOOKUP($L41,$B$51:$B$71,K$51:K$71),0)-ROUND(_xlfn.XLOOKUP($L41,'GAR 2022 score'!$B$29:$B$48,'GAR 2022 score'!K$29:K$48),0)</f>
        <v>1</v>
      </c>
      <c r="W41" s="21">
        <f>ROUND(_xlfn.XLOOKUP($L41,$B$51:$B$71,L$51:L$71),0)-ROUND(_xlfn.XLOOKUP($L41,'GAR 2022 score'!$B$29:$B$48,'GAR 2022 score'!L$29:L$48),0)</f>
        <v>0</v>
      </c>
      <c r="AO41" s="74"/>
      <c r="AS41" s="74"/>
      <c r="AW41" s="37"/>
    </row>
    <row r="42" spans="1:49">
      <c r="A42" s="165">
        <f>_xlfn.XLOOKUP(B42,'Global sales'!$K$3:$K$30,'Global sales'!$L$3:$L$30,0)</f>
        <v>12</v>
      </c>
      <c r="B42" s="174" t="s">
        <v>64</v>
      </c>
      <c r="C42" s="177">
        <f t="shared" si="93"/>
        <v>76.5</v>
      </c>
      <c r="D42" s="155">
        <f t="shared" si="98"/>
        <v>51.6</v>
      </c>
      <c r="E42" s="157">
        <f t="shared" si="95"/>
        <v>81.333333333333329</v>
      </c>
      <c r="F42" s="157">
        <f t="shared" si="96"/>
        <v>69.811111111111117</v>
      </c>
      <c r="G42" s="74"/>
      <c r="H42" s="74"/>
      <c r="I42" s="165" t="s">
        <v>70</v>
      </c>
      <c r="J42" s="165" t="s">
        <v>70</v>
      </c>
      <c r="K42" s="74"/>
      <c r="L42" s="165" t="str">
        <f t="shared" si="97"/>
        <v>Tata Motors</v>
      </c>
      <c r="M42" s="21">
        <f>ROUND(_xlfn.XLOOKUP($L42,$B$51:$B$71,M$51:M$71),0)-ROUND(_xlfn.XLOOKUP($L42,'GAR 2022 score'!$B$29:$B$49,'GAR 2022 score'!$M$29:$M$49),0)</f>
        <v>4</v>
      </c>
      <c r="N42" s="21">
        <f>ROUND(_xlfn.XLOOKUP($L42,$B$51:$B$71,C$51:C$71),0)-ROUND(_xlfn.XLOOKUP($L42,'GAR 2022 score'!$B$29:$B$48,'GAR 2022 score'!C$29:C$48),0)</f>
        <v>2</v>
      </c>
      <c r="O42" s="21">
        <f>ROUND(_xlfn.XLOOKUP($L42,$B$51:$B$71,D$51:D$71),0)-ROUND(_xlfn.XLOOKUP($L42,'GAR 2022 score'!$B$29:$B$48,'GAR 2022 score'!D$29:D$48),0)</f>
        <v>-2</v>
      </c>
      <c r="P42" s="21">
        <f>ROUND(_xlfn.XLOOKUP($L42,$B$51:$B$71,E$51:E$71),0)-ROUND(_xlfn.XLOOKUP($L42,'GAR 2022 score'!$B$29:$B$48,'GAR 2022 score'!E$29:E$48),0)</f>
        <v>13</v>
      </c>
      <c r="Q42" s="21">
        <f>ROUND(_xlfn.XLOOKUP($L42,$B$51:$B$71,F$51:F$71),0)-ROUND(_xlfn.XLOOKUP($L42,'GAR 2022 score'!$B$29:$B$48,'GAR 2022 score'!F$29:F$48),0)</f>
        <v>2</v>
      </c>
      <c r="R42" s="21">
        <f>ROUND(_xlfn.XLOOKUP($L42,$B$51:$B$71,G$51:G$71),0)-ROUND(_xlfn.XLOOKUP($L42,'GAR 2022 score'!$B$29:$B$48,'GAR 2022 score'!G$29:G$48),0)</f>
        <v>21</v>
      </c>
      <c r="S42" s="21">
        <f>ROUND(_xlfn.XLOOKUP($L42,$B$51:$B$71,H$51:H$71),0)-ROUND(_xlfn.XLOOKUP($L42,'GAR 2022 score'!$B$29:$B$48,'GAR 2022 score'!H$29:H$48),0)</f>
        <v>1</v>
      </c>
      <c r="T42" s="21">
        <f>ROUND(_xlfn.XLOOKUP($L42,$B$51:$B$71,I$51:I$71),0)-ROUND(_xlfn.XLOOKUP($L42,'GAR 2022 score'!$B$29:$B$48,'GAR 2022 score'!I$29:I$48),0)</f>
        <v>-6</v>
      </c>
      <c r="U42" s="21">
        <f>ROUND(_xlfn.XLOOKUP($L42,$B$51:$B$71,J$51:J$71),0)-ROUND(_xlfn.XLOOKUP($L42,'GAR 2022 score'!$B$29:$B$48,'GAR 2022 score'!J$29:J$48),0)</f>
        <v>19</v>
      </c>
      <c r="V42" s="21">
        <f>ROUND(_xlfn.XLOOKUP($L42,$B$51:$B$71,K$51:K$71),0)-ROUND(_xlfn.XLOOKUP($L42,'GAR 2022 score'!$B$29:$B$48,'GAR 2022 score'!K$29:K$48),0)</f>
        <v>2</v>
      </c>
      <c r="W42" s="21">
        <f>ROUND(_xlfn.XLOOKUP($L42,$B$51:$B$71,L$51:L$71),0)-ROUND(_xlfn.XLOOKUP($L42,'GAR 2022 score'!$B$29:$B$48,'GAR 2022 score'!L$29:L$48),0)</f>
        <v>4</v>
      </c>
      <c r="AO42" s="74"/>
      <c r="AS42" s="74"/>
      <c r="AW42" s="37"/>
    </row>
    <row r="43" spans="1:49">
      <c r="A43" s="165">
        <f>_xlfn.XLOOKUP(B43,'Global sales'!$K$3:$K$30,'Global sales'!$L$3:$L$30,0)</f>
        <v>14</v>
      </c>
      <c r="B43" s="174" t="s">
        <v>61</v>
      </c>
      <c r="C43" s="177">
        <f t="shared" si="93"/>
        <v>73</v>
      </c>
      <c r="D43" s="155">
        <f t="shared" si="98"/>
        <v>78.8</v>
      </c>
      <c r="E43" s="157">
        <f t="shared" si="95"/>
        <v>100</v>
      </c>
      <c r="F43" s="157">
        <f t="shared" si="96"/>
        <v>83.933333333333337</v>
      </c>
      <c r="G43" s="74"/>
      <c r="H43" s="74"/>
      <c r="I43" s="165" t="s">
        <v>89</v>
      </c>
      <c r="J43" s="165" t="s">
        <v>89</v>
      </c>
      <c r="K43" s="74"/>
      <c r="L43" s="165" t="str">
        <f t="shared" si="97"/>
        <v>Toyota</v>
      </c>
      <c r="M43" s="21">
        <f>ROUND(_xlfn.XLOOKUP($L43,$B$51:$B$71,M$51:M$71),0)-ROUND(_xlfn.XLOOKUP($L43,'GAR 2022 score'!$B$29:$B$49,'GAR 2022 score'!$M$29:$M$49),0)</f>
        <v>-2</v>
      </c>
      <c r="N43" s="21">
        <f>ROUND(_xlfn.XLOOKUP($L43,$B$51:$B$71,C$51:C$71),0)-ROUND(_xlfn.XLOOKUP($L43,'GAR 2022 score'!$B$29:$B$48,'GAR 2022 score'!C$29:C$48),0)</f>
        <v>1</v>
      </c>
      <c r="O43" s="21">
        <f>ROUND(_xlfn.XLOOKUP($L43,$B$51:$B$71,D$51:D$71),0)-ROUND(_xlfn.XLOOKUP($L43,'GAR 2022 score'!$B$29:$B$48,'GAR 2022 score'!D$29:D$48),0)</f>
        <v>-35</v>
      </c>
      <c r="P43" s="21">
        <f>ROUND(_xlfn.XLOOKUP($L43,$B$51:$B$71,E$51:E$71),0)-ROUND(_xlfn.XLOOKUP($L43,'GAR 2022 score'!$B$29:$B$48,'GAR 2022 score'!E$29:E$48),0)</f>
        <v>28</v>
      </c>
      <c r="Q43" s="21">
        <f>ROUND(_xlfn.XLOOKUP($L43,$B$51:$B$71,F$51:F$71),0)-ROUND(_xlfn.XLOOKUP($L43,'GAR 2022 score'!$B$29:$B$48,'GAR 2022 score'!F$29:F$48),0)</f>
        <v>-3</v>
      </c>
      <c r="R43" s="21">
        <f>ROUND(_xlfn.XLOOKUP($L43,$B$51:$B$71,G$51:G$71),0)-ROUND(_xlfn.XLOOKUP($L43,'GAR 2022 score'!$B$29:$B$48,'GAR 2022 score'!G$29:G$48),0)</f>
        <v>12</v>
      </c>
      <c r="S43" s="21">
        <f>ROUND(_xlfn.XLOOKUP($L43,$B$51:$B$71,H$51:H$71),0)-ROUND(_xlfn.XLOOKUP($L43,'GAR 2022 score'!$B$29:$B$48,'GAR 2022 score'!H$29:H$48),0)</f>
        <v>0</v>
      </c>
      <c r="T43" s="21">
        <f>ROUND(_xlfn.XLOOKUP($L43,$B$51:$B$71,I$51:I$71),0)-ROUND(_xlfn.XLOOKUP($L43,'GAR 2022 score'!$B$29:$B$48,'GAR 2022 score'!I$29:I$48),0)</f>
        <v>0</v>
      </c>
      <c r="U43" s="21">
        <f>ROUND(_xlfn.XLOOKUP($L43,$B$51:$B$71,J$51:J$71),0)-ROUND(_xlfn.XLOOKUP($L43,'GAR 2022 score'!$B$29:$B$48,'GAR 2022 score'!J$29:J$48),0)</f>
        <v>9</v>
      </c>
      <c r="V43" s="21">
        <f>ROUND(_xlfn.XLOOKUP($L43,$B$51:$B$71,K$51:K$71),0)-ROUND(_xlfn.XLOOKUP($L43,'GAR 2022 score'!$B$29:$B$48,'GAR 2022 score'!K$29:K$48),0)</f>
        <v>2</v>
      </c>
      <c r="W43" s="21">
        <f>ROUND(_xlfn.XLOOKUP($L43,$B$51:$B$71,L$51:L$71),0)-ROUND(_xlfn.XLOOKUP($L43,'GAR 2022 score'!$B$29:$B$48,'GAR 2022 score'!L$29:L$48),0)</f>
        <v>0</v>
      </c>
      <c r="AO43" s="74"/>
      <c r="AS43" s="74"/>
      <c r="AW43" s="37"/>
    </row>
    <row r="44" spans="1:49">
      <c r="A44" s="165">
        <f>_xlfn.XLOOKUP(B44,'Global sales'!$K$3:$K$30,'Global sales'!$L$3:$L$30,0)</f>
        <v>20</v>
      </c>
      <c r="B44" s="174" t="s">
        <v>79</v>
      </c>
      <c r="C44" s="177">
        <f t="shared" si="93"/>
        <v>15.5</v>
      </c>
      <c r="D44" s="155">
        <f t="shared" si="98"/>
        <v>47</v>
      </c>
      <c r="E44" s="157">
        <f t="shared" si="95"/>
        <v>31.666666666666668</v>
      </c>
      <c r="F44" s="157">
        <f t="shared" si="96"/>
        <v>31.388888888888889</v>
      </c>
      <c r="G44" s="74"/>
      <c r="H44" s="74"/>
      <c r="I44" s="165" t="s">
        <v>79</v>
      </c>
      <c r="J44" s="165" t="s">
        <v>79</v>
      </c>
      <c r="K44" s="74"/>
      <c r="L44" s="165" t="str">
        <f t="shared" si="97"/>
        <v>Honda</v>
      </c>
      <c r="M44" s="21">
        <f>ROUND(_xlfn.XLOOKUP($L44,$B$51:$B$71,M$51:M$71),0)-ROUND(_xlfn.XLOOKUP($L44,'GAR 2022 score'!$B$29:$B$49,'GAR 2022 score'!$M$29:$M$49),0)</f>
        <v>-7</v>
      </c>
      <c r="N44" s="21">
        <f>ROUND(_xlfn.XLOOKUP($L44,$B$51:$B$71,C$51:C$71),0)-ROUND(_xlfn.XLOOKUP($L44,'GAR 2022 score'!$B$29:$B$48,'GAR 2022 score'!C$29:C$48),0)</f>
        <v>1</v>
      </c>
      <c r="O44" s="21">
        <f>ROUND(_xlfn.XLOOKUP($L44,$B$51:$B$71,D$51:D$71),0)-ROUND(_xlfn.XLOOKUP($L44,'GAR 2022 score'!$B$29:$B$48,'GAR 2022 score'!D$29:D$48),0)</f>
        <v>-32</v>
      </c>
      <c r="P44" s="21">
        <f>ROUND(_xlfn.XLOOKUP($L44,$B$51:$B$71,E$51:E$71),0)-ROUND(_xlfn.XLOOKUP($L44,'GAR 2022 score'!$B$29:$B$48,'GAR 2022 score'!E$29:E$48),0)</f>
        <v>-16</v>
      </c>
      <c r="Q44" s="21">
        <f>ROUND(_xlfn.XLOOKUP($L44,$B$51:$B$71,F$51:F$71),0)-ROUND(_xlfn.XLOOKUP($L44,'GAR 2022 score'!$B$29:$B$48,'GAR 2022 score'!F$29:F$48),0)</f>
        <v>0</v>
      </c>
      <c r="R44" s="21">
        <f>ROUND(_xlfn.XLOOKUP($L44,$B$51:$B$71,G$51:G$71),0)-ROUND(_xlfn.XLOOKUP($L44,'GAR 2022 score'!$B$29:$B$48,'GAR 2022 score'!G$29:G$48),0)</f>
        <v>2</v>
      </c>
      <c r="S44" s="21">
        <f>ROUND(_xlfn.XLOOKUP($L44,$B$51:$B$71,H$51:H$71),0)-ROUND(_xlfn.XLOOKUP($L44,'GAR 2022 score'!$B$29:$B$48,'GAR 2022 score'!H$29:H$48),0)</f>
        <v>0</v>
      </c>
      <c r="T44" s="21">
        <f>ROUND(_xlfn.XLOOKUP($L44,$B$51:$B$71,I$51:I$71),0)-ROUND(_xlfn.XLOOKUP($L44,'GAR 2022 score'!$B$29:$B$48,'GAR 2022 score'!I$29:I$48),0)</f>
        <v>10</v>
      </c>
      <c r="U44" s="21">
        <f>ROUND(_xlfn.XLOOKUP($L44,$B$51:$B$71,J$51:J$71),0)-ROUND(_xlfn.XLOOKUP($L44,'GAR 2022 score'!$B$29:$B$48,'GAR 2022 score'!J$29:J$48),0)</f>
        <v>-6</v>
      </c>
      <c r="V44" s="21">
        <f>ROUND(_xlfn.XLOOKUP($L44,$B$51:$B$71,K$51:K$71),0)-ROUND(_xlfn.XLOOKUP($L44,'GAR 2022 score'!$B$29:$B$48,'GAR 2022 score'!K$29:K$48),0)</f>
        <v>-5</v>
      </c>
      <c r="W44" s="21">
        <f>ROUND(_xlfn.XLOOKUP($L44,$B$51:$B$71,L$51:L$71),0)-ROUND(_xlfn.XLOOKUP($L44,'GAR 2022 score'!$B$29:$B$48,'GAR 2022 score'!L$29:L$48),0)</f>
        <v>0</v>
      </c>
      <c r="AO44" s="74"/>
      <c r="AS44" s="74"/>
      <c r="AW44" s="37"/>
    </row>
    <row r="45" spans="1:49">
      <c r="A45" s="165">
        <f>_xlfn.XLOOKUP(B45,'Global sales'!$K$3:$K$30,'Global sales'!$L$3:$L$30,0)</f>
        <v>17</v>
      </c>
      <c r="B45" s="174" t="s">
        <v>81</v>
      </c>
      <c r="C45" s="177">
        <f t="shared" si="93"/>
        <v>31.5</v>
      </c>
      <c r="D45" s="155">
        <f t="shared" si="98"/>
        <v>43.4</v>
      </c>
      <c r="E45" s="157">
        <f t="shared" si="95"/>
        <v>30.666666666666668</v>
      </c>
      <c r="F45" s="157">
        <f t="shared" si="96"/>
        <v>35.18888888888889</v>
      </c>
      <c r="G45" s="74"/>
      <c r="H45" s="74"/>
      <c r="I45" s="165" t="s">
        <v>97</v>
      </c>
      <c r="J45" s="165" t="s">
        <v>97</v>
      </c>
      <c r="K45" s="74"/>
      <c r="L45" s="165" t="str">
        <f t="shared" si="97"/>
        <v>Nissan</v>
      </c>
      <c r="M45" s="21">
        <f>ROUND(_xlfn.XLOOKUP($L45,$B$51:$B$71,M$51:M$71),0)-ROUND(_xlfn.XLOOKUP($L45,'GAR 2022 score'!$B$29:$B$49,'GAR 2022 score'!$M$29:$M$49),0)</f>
        <v>-13</v>
      </c>
      <c r="N45" s="21">
        <f>ROUND(_xlfn.XLOOKUP($L45,$B$51:$B$71,C$51:C$71),0)-ROUND(_xlfn.XLOOKUP($L45,'GAR 2022 score'!$B$29:$B$48,'GAR 2022 score'!C$29:C$48),0)</f>
        <v>1</v>
      </c>
      <c r="O45" s="21">
        <f>ROUND(_xlfn.XLOOKUP($L45,$B$51:$B$71,D$51:D$71),0)-ROUND(_xlfn.XLOOKUP($L45,'GAR 2022 score'!$B$29:$B$48,'GAR 2022 score'!D$29:D$48),0)</f>
        <v>-35</v>
      </c>
      <c r="P45" s="21">
        <f>ROUND(_xlfn.XLOOKUP($L45,$B$51:$B$71,E$51:E$71),0)-ROUND(_xlfn.XLOOKUP($L45,'GAR 2022 score'!$B$29:$B$48,'GAR 2022 score'!E$29:E$48),0)</f>
        <v>-1</v>
      </c>
      <c r="Q45" s="21">
        <f>ROUND(_xlfn.XLOOKUP($L45,$B$51:$B$71,F$51:F$71),0)-ROUND(_xlfn.XLOOKUP($L45,'GAR 2022 score'!$B$29:$B$48,'GAR 2022 score'!F$29:F$48),0)</f>
        <v>10</v>
      </c>
      <c r="R45" s="21">
        <f>ROUND(_xlfn.XLOOKUP($L45,$B$51:$B$71,G$51:G$71),0)-ROUND(_xlfn.XLOOKUP($L45,'GAR 2022 score'!$B$29:$B$48,'GAR 2022 score'!G$29:G$48),0)</f>
        <v>1</v>
      </c>
      <c r="S45" s="21">
        <f>ROUND(_xlfn.XLOOKUP($L45,$B$51:$B$71,H$51:H$71),0)-ROUND(_xlfn.XLOOKUP($L45,'GAR 2022 score'!$B$29:$B$48,'GAR 2022 score'!H$29:H$48),0)</f>
        <v>0</v>
      </c>
      <c r="T45" s="21">
        <f>ROUND(_xlfn.XLOOKUP($L45,$B$51:$B$71,I$51:I$71),0)-ROUND(_xlfn.XLOOKUP($L45,'GAR 2022 score'!$B$29:$B$48,'GAR 2022 score'!I$29:I$48),0)</f>
        <v>2</v>
      </c>
      <c r="U45" s="21">
        <f>ROUND(_xlfn.XLOOKUP($L45,$B$51:$B$71,J$51:J$71),0)-ROUND(_xlfn.XLOOKUP($L45,'GAR 2022 score'!$B$29:$B$48,'GAR 2022 score'!J$29:J$48),0)</f>
        <v>-60</v>
      </c>
      <c r="V45" s="21">
        <f>ROUND(_xlfn.XLOOKUP($L45,$B$51:$B$71,K$51:K$71),0)-ROUND(_xlfn.XLOOKUP($L45,'GAR 2022 score'!$B$29:$B$48,'GAR 2022 score'!K$29:K$48),0)</f>
        <v>-15</v>
      </c>
      <c r="W45" s="21">
        <f>ROUND(_xlfn.XLOOKUP($L45,$B$51:$B$71,L$51:L$71),0)-ROUND(_xlfn.XLOOKUP($L45,'GAR 2022 score'!$B$29:$B$48,'GAR 2022 score'!L$29:L$48),0)</f>
        <v>-2</v>
      </c>
      <c r="AO45" s="74"/>
      <c r="AS45" s="74"/>
      <c r="AW45" s="37"/>
    </row>
    <row r="46" spans="1:49">
      <c r="A46" s="165">
        <f>_xlfn.XLOOKUP(B46,'Global sales'!$K$3:$K$30,'Global sales'!$L$3:$L$30,0)</f>
        <v>28</v>
      </c>
      <c r="B46" s="174" t="s">
        <v>97</v>
      </c>
      <c r="C46" s="177">
        <f t="shared" si="93"/>
        <v>2.5</v>
      </c>
      <c r="D46" s="155">
        <f t="shared" si="98"/>
        <v>4.2</v>
      </c>
      <c r="E46" s="157">
        <f t="shared" si="95"/>
        <v>17.666666666666668</v>
      </c>
      <c r="F46" s="157">
        <f t="shared" si="96"/>
        <v>8.1222222222222218</v>
      </c>
      <c r="G46" s="74"/>
      <c r="H46" s="74"/>
      <c r="I46" s="165" t="s">
        <v>99</v>
      </c>
      <c r="J46" s="165" t="s">
        <v>99</v>
      </c>
      <c r="K46" s="74"/>
      <c r="L46" s="21" t="str">
        <f t="shared" si="97"/>
        <v>Mazda</v>
      </c>
      <c r="M46" s="21">
        <f>ROUND(_xlfn.XLOOKUP($L46,$B$51:$B$71,M$51:M$71),0)-ROUND(_xlfn.XLOOKUP($L46,'GAR 2022 score'!$B$29:$B$49,'GAR 2022 score'!$M$29:$M$49),0)</f>
        <v>-2</v>
      </c>
      <c r="N46" s="21">
        <f>ROUND(_xlfn.XLOOKUP($L46,$B$51:$B$71,C$51:C$71),0)-ROUND(_xlfn.XLOOKUP($L46,'GAR 2022 score'!$B$29:$B$48,'GAR 2022 score'!C$29:C$48),0)</f>
        <v>1</v>
      </c>
      <c r="O46" s="21">
        <f>ROUND(_xlfn.XLOOKUP($L46,$B$51:$B$71,D$51:D$71),0)-ROUND(_xlfn.XLOOKUP($L46,'GAR 2022 score'!$B$29:$B$48,'GAR 2022 score'!D$29:D$48),0)</f>
        <v>-10</v>
      </c>
      <c r="P46" s="21">
        <f>ROUND(_xlfn.XLOOKUP($L46,$B$51:$B$71,E$51:E$71),0)-ROUND(_xlfn.XLOOKUP($L46,'GAR 2022 score'!$B$29:$B$48,'GAR 2022 score'!E$29:E$48),0)</f>
        <v>0</v>
      </c>
      <c r="Q46" s="21">
        <f>ROUND(_xlfn.XLOOKUP($L46,$B$51:$B$71,F$51:F$71),0)-ROUND(_xlfn.XLOOKUP($L46,'GAR 2022 score'!$B$29:$B$48,'GAR 2022 score'!F$29:F$48),0)</f>
        <v>0</v>
      </c>
      <c r="R46" s="21">
        <f>ROUND(_xlfn.XLOOKUP($L46,$B$51:$B$71,G$51:G$71),0)-ROUND(_xlfn.XLOOKUP($L46,'GAR 2022 score'!$B$29:$B$48,'GAR 2022 score'!G$29:G$48),0)</f>
        <v>-1</v>
      </c>
      <c r="S46" s="21">
        <f>ROUND(_xlfn.XLOOKUP($L46,$B$51:$B$71,H$51:H$71),0)-ROUND(_xlfn.XLOOKUP($L46,'GAR 2022 score'!$B$29:$B$48,'GAR 2022 score'!H$29:H$48),0)</f>
        <v>0</v>
      </c>
      <c r="T46" s="21">
        <f>ROUND(_xlfn.XLOOKUP($L46,$B$51:$B$71,I$51:I$71),0)-ROUND(_xlfn.XLOOKUP($L46,'GAR 2022 score'!$B$29:$B$48,'GAR 2022 score'!I$29:I$48),0)</f>
        <v>0</v>
      </c>
      <c r="U46" s="21">
        <f>ROUND(_xlfn.XLOOKUP($L46,$B$51:$B$71,J$51:J$71),0)-ROUND(_xlfn.XLOOKUP($L46,'GAR 2022 score'!$B$29:$B$48,'GAR 2022 score'!J$29:J$48),0)</f>
        <v>8</v>
      </c>
      <c r="V46" s="21">
        <f>ROUND(_xlfn.XLOOKUP($L46,$B$51:$B$71,K$51:K$71),0)-ROUND(_xlfn.XLOOKUP($L46,'GAR 2022 score'!$B$29:$B$48,'GAR 2022 score'!K$29:K$48),0)</f>
        <v>-10</v>
      </c>
      <c r="W46" s="21">
        <f>ROUND(_xlfn.XLOOKUP($L46,$B$51:$B$71,L$51:L$71),0)-ROUND(_xlfn.XLOOKUP($L46,'GAR 2022 score'!$B$29:$B$48,'GAR 2022 score'!L$29:L$48),0)</f>
        <v>0</v>
      </c>
      <c r="AO46" s="74"/>
      <c r="AS46" s="74"/>
      <c r="AW46" s="37"/>
    </row>
    <row r="47" spans="1:49" ht="17" customHeight="1">
      <c r="A47" s="165">
        <f>_xlfn.XLOOKUP(B47,'Global sales'!$K$3:$K$30,'Global sales'!$L$3:$L$30,0)</f>
        <v>16</v>
      </c>
      <c r="B47" s="174" t="s">
        <v>90</v>
      </c>
      <c r="C47" s="177">
        <f t="shared" si="93"/>
        <v>47.5</v>
      </c>
      <c r="D47" s="155">
        <f t="shared" si="98"/>
        <v>30.8</v>
      </c>
      <c r="E47" s="157">
        <f t="shared" si="95"/>
        <v>25</v>
      </c>
      <c r="F47" s="157">
        <f t="shared" si="96"/>
        <v>34.43333333333333</v>
      </c>
      <c r="G47" s="74"/>
      <c r="H47" s="74"/>
      <c r="I47" s="21" t="s">
        <v>90</v>
      </c>
      <c r="J47" s="165" t="s">
        <v>90</v>
      </c>
      <c r="K47" s="74"/>
      <c r="L47" s="21" t="str">
        <f t="shared" si="97"/>
        <v>Suzuki</v>
      </c>
      <c r="M47" s="21">
        <f>ROUND(_xlfn.XLOOKUP($L47,$B$51:$B$71,M$51:M$71),0)-ROUND(_xlfn.XLOOKUP($L47,'GAR 2022 score'!$B$29:$B$49,'GAR 2022 score'!$M$29:$M$49),0)</f>
        <v>4</v>
      </c>
      <c r="N47" s="21">
        <f>ROUND(_xlfn.XLOOKUP($L47,$B$51:$B$71,C$51:C$71),0)-ROUND(_xlfn.XLOOKUP($L47,'GAR 2022 score'!$B$29:$B$48,'GAR 2022 score'!C$29:C$48),0)</f>
        <v>0</v>
      </c>
      <c r="O47" s="21">
        <f>ROUND(_xlfn.XLOOKUP($L47,$B$51:$B$71,D$51:D$71),0)-ROUND(_xlfn.XLOOKUP($L47,'GAR 2022 score'!$B$29:$B$48,'GAR 2022 score'!D$29:D$48),0)</f>
        <v>0</v>
      </c>
      <c r="P47" s="21" t="e">
        <f>ROUND(_xlfn.XLOOKUP($L47,$B$51:$B$71,E$51:E$71),0)-ROUND(_xlfn.XLOOKUP($L47,'GAR 2022 score'!$B$29:$B$48,'GAR 2022 score'!E$29:E$48),0)</f>
        <v>#VALUE!</v>
      </c>
      <c r="Q47" s="21" t="e">
        <f>ROUND(_xlfn.XLOOKUP($L47,$B$51:$B$71,F$51:F$71),0)-ROUND(_xlfn.XLOOKUP($L47,'GAR 2022 score'!$B$29:$B$48,'GAR 2022 score'!F$29:F$48),0)</f>
        <v>#VALUE!</v>
      </c>
      <c r="R47" s="21" t="e">
        <f>ROUND(_xlfn.XLOOKUP($L47,$B$51:$B$71,G$51:G$71),0)-ROUND(_xlfn.XLOOKUP($L47,'GAR 2022 score'!$B$29:$B$48,'GAR 2022 score'!G$29:G$48),0)</f>
        <v>#VALUE!</v>
      </c>
      <c r="S47" s="21">
        <f>ROUND(_xlfn.XLOOKUP($L47,$B$51:$B$71,H$51:H$71),0)-ROUND(_xlfn.XLOOKUP($L47,'GAR 2022 score'!$B$29:$B$48,'GAR 2022 score'!H$29:H$48),0)</f>
        <v>0</v>
      </c>
      <c r="T47" s="21">
        <f>ROUND(_xlfn.XLOOKUP($L47,$B$51:$B$71,I$51:I$71),0)-ROUND(_xlfn.XLOOKUP($L47,'GAR 2022 score'!$B$29:$B$48,'GAR 2022 score'!I$29:I$48),0)</f>
        <v>0</v>
      </c>
      <c r="U47" s="21">
        <f>ROUND(_xlfn.XLOOKUP($L47,$B$51:$B$71,J$51:J$71),0)-ROUND(_xlfn.XLOOKUP($L47,'GAR 2022 score'!$B$29:$B$48,'GAR 2022 score'!J$29:J$48),0)</f>
        <v>32</v>
      </c>
      <c r="V47" s="21">
        <f>ROUND(_xlfn.XLOOKUP($L47,$B$51:$B$71,K$51:K$71),0)-ROUND(_xlfn.XLOOKUP($L47,'GAR 2022 score'!$B$29:$B$48,'GAR 2022 score'!K$29:K$48),0)</f>
        <v>4</v>
      </c>
      <c r="W47" s="21">
        <f>ROUND(_xlfn.XLOOKUP($L47,$B$51:$B$71,L$51:L$71),0)-ROUND(_xlfn.XLOOKUP($L47,'GAR 2022 score'!$B$29:$B$48,'GAR 2022 score'!L$29:L$48),0)</f>
        <v>0</v>
      </c>
      <c r="AO47" s="74"/>
      <c r="AS47" s="74"/>
      <c r="AW47" s="37"/>
    </row>
    <row r="48" spans="1:49" ht="18" customHeight="1">
      <c r="A48" s="12"/>
      <c r="B48" s="164"/>
      <c r="C48" s="33"/>
      <c r="D48" s="105"/>
      <c r="E48" s="75"/>
      <c r="F48" s="75"/>
      <c r="N48" s="111"/>
      <c r="O48" s="111"/>
      <c r="AK48" s="33"/>
      <c r="AL48" s="33"/>
      <c r="AM48" s="37"/>
      <c r="AN48" s="33"/>
      <c r="AO48" s="33"/>
      <c r="AP48" s="33"/>
      <c r="AQ48" s="33"/>
      <c r="AR48" s="33"/>
      <c r="AS48" s="37"/>
      <c r="AT48" s="33"/>
      <c r="AU48" s="33"/>
      <c r="AV48" s="33"/>
      <c r="AW48" s="37"/>
    </row>
    <row r="49" spans="1:49" ht="35" customHeight="1">
      <c r="A49" s="15" t="s">
        <v>110</v>
      </c>
      <c r="N49" s="111"/>
      <c r="O49" s="111"/>
    </row>
    <row r="50" spans="1:49" ht="36" customHeight="1">
      <c r="A50" s="172" t="s">
        <v>102</v>
      </c>
      <c r="B50" s="173" t="s">
        <v>31</v>
      </c>
      <c r="C50" s="149" t="s">
        <v>38</v>
      </c>
      <c r="D50" s="150" t="s">
        <v>13</v>
      </c>
      <c r="E50" s="151" t="s">
        <v>40</v>
      </c>
      <c r="F50" s="151" t="s">
        <v>111</v>
      </c>
      <c r="G50" s="151" t="s">
        <v>112</v>
      </c>
      <c r="H50" s="151" t="s">
        <v>113</v>
      </c>
      <c r="I50" s="151" t="s">
        <v>42</v>
      </c>
      <c r="J50" s="152" t="s">
        <v>26</v>
      </c>
      <c r="K50" s="152" t="s">
        <v>28</v>
      </c>
      <c r="L50" s="152" t="s">
        <v>114</v>
      </c>
      <c r="M50" s="45" t="s">
        <v>104</v>
      </c>
      <c r="N50" s="111"/>
      <c r="O50" s="111"/>
    </row>
    <row r="51" spans="1:49" ht="17" customHeight="1">
      <c r="A51" s="165">
        <f>_xlfn.XLOOKUP(B51,'Global sales'!$K$3:$K$30,'Global sales'!$L$3:$L$30,0)</f>
        <v>1</v>
      </c>
      <c r="B51" s="171" t="s">
        <v>77</v>
      </c>
      <c r="C51" s="153">
        <f t="shared" ref="C51:C71" si="99">(C75-$C$97)/(C$96-$C$97)*100</f>
        <v>1.7403297324262161</v>
      </c>
      <c r="D51" s="153">
        <f t="shared" ref="D51:D71" si="100">(D75-$D$97)/(D$96-$D$97)*100</f>
        <v>27.527216174183515</v>
      </c>
      <c r="E51" s="153">
        <f t="shared" ref="E51:E58" si="101">($E$96-E75)/(E$96-$E$97)*100</f>
        <v>70.780506524790226</v>
      </c>
      <c r="F51" s="153">
        <f t="shared" ref="F51:F58" si="102">(F75-$F$97)/(F$96-$F$97)*100</f>
        <v>32.248766233766233</v>
      </c>
      <c r="G51" s="153">
        <f t="shared" ref="G51:G58" si="103">(G75-$G$97)/(G$96-$G$97)*100</f>
        <v>81.758748336918458</v>
      </c>
      <c r="H51" s="153">
        <f t="shared" ref="H51:H71" si="104">(H75-$H$97)/(H$96-$H$97)*100</f>
        <v>6.4846882771260104</v>
      </c>
      <c r="I51" s="153">
        <f t="shared" ref="I51:I71" si="105">(I75-$I$97)/(I$96-$I$97)*100</f>
        <v>59.107591621867151</v>
      </c>
      <c r="J51" s="153">
        <f t="shared" ref="J51:J65" si="106">(J75-$J$97)/(J$96-$J$97)*100</f>
        <v>48.167659388243564</v>
      </c>
      <c r="K51" s="153">
        <f t="shared" ref="K51:K71" si="107">(K75-$K$97)/(K$96-$K$97)*100</f>
        <v>9.3163534419465073</v>
      </c>
      <c r="L51" s="153">
        <f t="shared" ref="L51:L71" si="108">(L75-$L$97)/(L$96-$L$97)*100</f>
        <v>0</v>
      </c>
      <c r="M51" s="154">
        <f>(AVERAGE(C51:D51)+AVERAGE(E51:I51)+AVERAGE(J51:L51))/3</f>
        <v>27.957056920753946</v>
      </c>
      <c r="N51" s="111"/>
      <c r="O51" s="111"/>
      <c r="AJ51" s="37"/>
      <c r="AK51" s="37"/>
      <c r="AT51" s="37"/>
    </row>
    <row r="52" spans="1:49">
      <c r="A52" s="165">
        <f>_xlfn.XLOOKUP(B52,'Global sales'!$K$3:$K$30,'Global sales'!$L$3:$L$30,0)</f>
        <v>2</v>
      </c>
      <c r="B52" s="171" t="s">
        <v>69</v>
      </c>
      <c r="C52" s="153">
        <f t="shared" si="99"/>
        <v>10.633134508901414</v>
      </c>
      <c r="D52" s="153">
        <f t="shared" si="100"/>
        <v>58.880248833592539</v>
      </c>
      <c r="E52" s="153">
        <f t="shared" si="101"/>
        <v>60.738293122800812</v>
      </c>
      <c r="F52" s="153">
        <f t="shared" si="102"/>
        <v>49.845259740259742</v>
      </c>
      <c r="G52" s="153">
        <f t="shared" si="103"/>
        <v>86.585833109577848</v>
      </c>
      <c r="H52" s="153">
        <f t="shared" si="104"/>
        <v>73.421024428575166</v>
      </c>
      <c r="I52" s="153">
        <f t="shared" si="105"/>
        <v>97.242998765071903</v>
      </c>
      <c r="J52" s="153">
        <f t="shared" si="106"/>
        <v>79.452751817345131</v>
      </c>
      <c r="K52" s="153">
        <f t="shared" si="107"/>
        <v>22.255495297730203</v>
      </c>
      <c r="L52" s="153">
        <f t="shared" si="108"/>
        <v>8.0356563612903127</v>
      </c>
      <c r="M52" s="154">
        <f t="shared" ref="M52:M71" si="109">(AVERAGE(C52:D52)+AVERAGE(E52:I52)+AVERAGE(J52:L52))/3</f>
        <v>48.301558221097537</v>
      </c>
      <c r="N52" s="111"/>
      <c r="O52" s="111"/>
      <c r="R52" s="54"/>
      <c r="S52" s="54"/>
      <c r="T52" s="54"/>
      <c r="U52" s="54"/>
      <c r="AJ52" s="37"/>
      <c r="AK52" s="37"/>
      <c r="AL52" s="72"/>
      <c r="AM52" s="72"/>
      <c r="AN52" s="72"/>
      <c r="AO52" s="72"/>
      <c r="AP52" s="72"/>
      <c r="AQ52" s="72"/>
      <c r="AR52" s="72"/>
      <c r="AS52" s="72"/>
      <c r="AT52" s="62"/>
      <c r="AU52" s="72"/>
      <c r="AV52" s="72"/>
      <c r="AW52" s="72"/>
    </row>
    <row r="53" spans="1:49">
      <c r="A53" s="165">
        <f>_xlfn.XLOOKUP(B53,'Global sales'!$K$3:$K$30,'Global sales'!$L$3:$L$30,0)</f>
        <v>18</v>
      </c>
      <c r="B53" s="171" t="s">
        <v>84</v>
      </c>
      <c r="C53" s="153">
        <f t="shared" si="99"/>
        <v>7.1708619172990389</v>
      </c>
      <c r="D53" s="153">
        <f t="shared" si="100"/>
        <v>30.093312597200622</v>
      </c>
      <c r="E53" s="153">
        <f t="shared" si="101"/>
        <v>26.440939973371158</v>
      </c>
      <c r="F53" s="153">
        <f t="shared" si="102"/>
        <v>78.835064935064935</v>
      </c>
      <c r="G53" s="153">
        <f t="shared" si="103"/>
        <v>71.199500396726037</v>
      </c>
      <c r="H53" s="153">
        <f t="shared" si="104"/>
        <v>11.209790756576698</v>
      </c>
      <c r="I53" s="153">
        <f t="shared" si="105"/>
        <v>100</v>
      </c>
      <c r="J53" s="153">
        <f t="shared" si="106"/>
        <v>53.808176661977356</v>
      </c>
      <c r="K53" s="153">
        <f t="shared" si="107"/>
        <v>21.394327229055143</v>
      </c>
      <c r="L53" s="153">
        <f t="shared" si="108"/>
        <v>0</v>
      </c>
      <c r="M53" s="154">
        <f t="shared" si="109"/>
        <v>33.74554925553614</v>
      </c>
      <c r="N53" s="111"/>
      <c r="O53" s="111"/>
      <c r="R53" s="54"/>
      <c r="S53" s="54"/>
      <c r="T53" s="54"/>
      <c r="U53" s="54"/>
      <c r="AJ53" s="37"/>
      <c r="AK53" s="37"/>
      <c r="AL53" s="72"/>
      <c r="AM53" s="72"/>
      <c r="AN53" s="72"/>
      <c r="AO53" s="72"/>
      <c r="AP53" s="72"/>
      <c r="AQ53" s="72"/>
      <c r="AR53" s="72"/>
      <c r="AS53" s="72"/>
      <c r="AT53" s="62"/>
      <c r="AU53" s="72"/>
      <c r="AV53" s="72"/>
      <c r="AW53" s="72"/>
    </row>
    <row r="54" spans="1:49">
      <c r="A54" s="165">
        <f>_xlfn.XLOOKUP(B54,'Global sales'!$K$3:$K$30,'Global sales'!$L$3:$L$30,0)</f>
        <v>4</v>
      </c>
      <c r="B54" s="171" t="s">
        <v>74</v>
      </c>
      <c r="C54" s="153">
        <f t="shared" si="99"/>
        <v>8.9536621066078812</v>
      </c>
      <c r="D54" s="153">
        <f t="shared" si="100"/>
        <v>67.604976671850693</v>
      </c>
      <c r="E54" s="153">
        <f t="shared" si="101"/>
        <v>31.04261517700624</v>
      </c>
      <c r="F54" s="153">
        <f t="shared" si="102"/>
        <v>30.934415584415582</v>
      </c>
      <c r="G54" s="153">
        <f t="shared" si="103"/>
        <v>35.298057400071805</v>
      </c>
      <c r="H54" s="153">
        <f t="shared" si="104"/>
        <v>0</v>
      </c>
      <c r="I54" s="153">
        <f t="shared" si="105"/>
        <v>98.648523991590451</v>
      </c>
      <c r="J54" s="153">
        <f t="shared" si="106"/>
        <v>100</v>
      </c>
      <c r="K54" s="153">
        <f t="shared" si="107"/>
        <v>6.7497801889013278</v>
      </c>
      <c r="L54" s="153">
        <f t="shared" si="108"/>
        <v>100</v>
      </c>
      <c r="M54" s="154">
        <f t="shared" si="109"/>
        <v>48.79354507204885</v>
      </c>
      <c r="N54" s="111"/>
      <c r="O54" s="111"/>
      <c r="R54" s="54"/>
      <c r="S54" s="54"/>
      <c r="T54" s="54"/>
      <c r="U54" s="54"/>
      <c r="AJ54" s="37"/>
      <c r="AK54" s="37"/>
      <c r="AL54" s="72"/>
      <c r="AM54" s="72"/>
      <c r="AN54" s="72"/>
      <c r="AO54" s="72"/>
      <c r="AP54" s="72"/>
      <c r="AQ54" s="72"/>
      <c r="AR54" s="72"/>
      <c r="AS54" s="72"/>
      <c r="AT54" s="62"/>
      <c r="AU54" s="72"/>
      <c r="AV54" s="72"/>
      <c r="AW54" s="72"/>
    </row>
    <row r="55" spans="1:49">
      <c r="A55" s="165">
        <f>_xlfn.XLOOKUP(B55,'Global sales'!$K$3:$K$30,'Global sales'!$L$3:$L$30,0)</f>
        <v>5</v>
      </c>
      <c r="B55" s="171" t="s">
        <v>89</v>
      </c>
      <c r="C55" s="153">
        <f t="shared" si="99"/>
        <v>0.66975761257297384</v>
      </c>
      <c r="D55" s="153">
        <f t="shared" si="100"/>
        <v>6.0653188180404358</v>
      </c>
      <c r="E55" s="153">
        <f t="shared" si="101"/>
        <v>34.857315818585093</v>
      </c>
      <c r="F55" s="153">
        <f t="shared" si="102"/>
        <v>26.269220779220781</v>
      </c>
      <c r="G55" s="153">
        <f t="shared" si="103"/>
        <v>54.304703692418165</v>
      </c>
      <c r="H55" s="153">
        <f t="shared" si="104"/>
        <v>0</v>
      </c>
      <c r="I55" s="153">
        <f t="shared" si="105"/>
        <v>42.046206586700379</v>
      </c>
      <c r="J55" s="153">
        <f t="shared" si="106"/>
        <v>67.204814828850928</v>
      </c>
      <c r="K55" s="153">
        <f t="shared" si="107"/>
        <v>19.360525215590375</v>
      </c>
      <c r="L55" s="153">
        <f t="shared" si="108"/>
        <v>0</v>
      </c>
      <c r="M55" s="154">
        <f t="shared" si="109"/>
        <v>21.239380312946228</v>
      </c>
      <c r="N55" s="117"/>
      <c r="O55" s="111"/>
      <c r="R55" s="54"/>
      <c r="S55" s="54"/>
      <c r="T55" s="54"/>
      <c r="U55" s="54"/>
      <c r="AJ55" s="37"/>
      <c r="AK55" s="37"/>
      <c r="AL55" s="72"/>
      <c r="AM55" s="72"/>
      <c r="AN55" s="72"/>
      <c r="AO55" s="72"/>
      <c r="AP55" s="72"/>
      <c r="AQ55" s="72"/>
      <c r="AR55" s="72"/>
      <c r="AS55" s="72"/>
      <c r="AT55" s="62"/>
      <c r="AU55" s="72"/>
      <c r="AV55" s="72"/>
      <c r="AW55" s="72"/>
    </row>
    <row r="56" spans="1:49">
      <c r="A56" s="165">
        <f>_xlfn.XLOOKUP(B56,'Global sales'!$K$3:$K$30,'Global sales'!$L$3:$L$30,0)</f>
        <v>3</v>
      </c>
      <c r="B56" s="171" t="s">
        <v>70</v>
      </c>
      <c r="C56" s="153">
        <f t="shared" si="99"/>
        <v>4.0114081045504602</v>
      </c>
      <c r="D56" s="153">
        <f t="shared" si="100"/>
        <v>19.424572317262832</v>
      </c>
      <c r="E56" s="153">
        <f t="shared" si="101"/>
        <v>59.056963769982886</v>
      </c>
      <c r="F56" s="153">
        <f t="shared" si="102"/>
        <v>29.006753246753249</v>
      </c>
      <c r="G56" s="153">
        <f t="shared" si="103"/>
        <v>75.121506774511786</v>
      </c>
      <c r="H56" s="153">
        <f t="shared" si="104"/>
        <v>0</v>
      </c>
      <c r="I56" s="153">
        <f t="shared" si="105"/>
        <v>73.78780904485788</v>
      </c>
      <c r="J56" s="153">
        <f t="shared" si="106"/>
        <v>86.572968002796983</v>
      </c>
      <c r="K56" s="153">
        <f t="shared" si="107"/>
        <v>9.5595782754514005</v>
      </c>
      <c r="L56" s="153">
        <f t="shared" si="108"/>
        <v>54.880388424976289</v>
      </c>
      <c r="M56" s="154">
        <f t="shared" si="109"/>
        <v>36.483413893067571</v>
      </c>
      <c r="N56" s="111"/>
      <c r="O56" s="111"/>
      <c r="R56" s="54"/>
      <c r="S56" s="54"/>
      <c r="T56" s="54"/>
      <c r="U56" s="54"/>
      <c r="AJ56" s="37"/>
      <c r="AK56" s="37"/>
      <c r="AL56" s="72"/>
      <c r="AM56" s="72"/>
      <c r="AN56" s="72"/>
      <c r="AO56" s="72"/>
      <c r="AP56" s="72"/>
      <c r="AQ56" s="72"/>
      <c r="AR56" s="72"/>
      <c r="AS56" s="72"/>
      <c r="AT56" s="62"/>
      <c r="AU56" s="72"/>
      <c r="AV56" s="72"/>
      <c r="AW56" s="72"/>
    </row>
    <row r="57" spans="1:49">
      <c r="A57" s="165">
        <f>_xlfn.XLOOKUP(B57,'Global sales'!$K$3:$K$30,'Global sales'!$L$3:$L$30,0)</f>
        <v>6</v>
      </c>
      <c r="B57" s="171" t="s">
        <v>80</v>
      </c>
      <c r="C57" s="153">
        <f t="shared" si="99"/>
        <v>3.9453715257651414</v>
      </c>
      <c r="D57" s="153">
        <f t="shared" si="100"/>
        <v>29.766718506998448</v>
      </c>
      <c r="E57" s="153">
        <f t="shared" si="101"/>
        <v>23.056661087459048</v>
      </c>
      <c r="F57" s="153">
        <f t="shared" si="102"/>
        <v>47.662012987012993</v>
      </c>
      <c r="G57" s="153">
        <f t="shared" si="103"/>
        <v>85.982447512995435</v>
      </c>
      <c r="H57" s="153">
        <f t="shared" si="104"/>
        <v>13.901546584128941</v>
      </c>
      <c r="I57" s="153">
        <f t="shared" si="105"/>
        <v>91.604059779313346</v>
      </c>
      <c r="J57" s="153">
        <f t="shared" si="106"/>
        <v>78.951181467448762</v>
      </c>
      <c r="K57" s="153">
        <f t="shared" si="107"/>
        <v>10.756638571557588</v>
      </c>
      <c r="L57" s="153">
        <f t="shared" si="108"/>
        <v>10.928492651354828</v>
      </c>
      <c r="M57" s="154">
        <f t="shared" si="109"/>
        <v>34.280942723339159</v>
      </c>
      <c r="N57" s="111"/>
      <c r="O57" s="111"/>
      <c r="R57" s="54"/>
      <c r="S57" s="54"/>
      <c r="T57" s="54"/>
      <c r="U57" s="54"/>
      <c r="AJ57" s="37"/>
      <c r="AK57" s="37"/>
      <c r="AL57" s="72"/>
      <c r="AM57" s="72"/>
      <c r="AN57" s="72"/>
      <c r="AO57" s="72"/>
      <c r="AP57" s="72"/>
      <c r="AQ57" s="72"/>
      <c r="AR57" s="72"/>
      <c r="AS57" s="72"/>
      <c r="AT57" s="62"/>
      <c r="AU57" s="72"/>
      <c r="AV57" s="72"/>
      <c r="AW57" s="72"/>
    </row>
    <row r="58" spans="1:49">
      <c r="A58" s="165">
        <f>_xlfn.XLOOKUP(B58,'Global sales'!$K$3:$K$30,'Global sales'!$L$3:$L$30,0)</f>
        <v>8</v>
      </c>
      <c r="B58" s="171" t="s">
        <v>91</v>
      </c>
      <c r="C58" s="153">
        <f t="shared" si="99"/>
        <v>4.6074196851453157</v>
      </c>
      <c r="D58" s="153">
        <f t="shared" si="100"/>
        <v>28.429237947122861</v>
      </c>
      <c r="E58" s="153">
        <f t="shared" si="101"/>
        <v>18.048166158292169</v>
      </c>
      <c r="F58" s="153">
        <f t="shared" si="102"/>
        <v>21.753181818181815</v>
      </c>
      <c r="G58" s="153">
        <f t="shared" si="103"/>
        <v>30.169279829121205</v>
      </c>
      <c r="H58" s="153">
        <f t="shared" si="104"/>
        <v>0</v>
      </c>
      <c r="I58" s="153">
        <f t="shared" si="105"/>
        <v>33.14399324261035</v>
      </c>
      <c r="J58" s="153">
        <f t="shared" si="106"/>
        <v>0</v>
      </c>
      <c r="K58" s="153">
        <f t="shared" si="107"/>
        <v>9.3720653798629208</v>
      </c>
      <c r="L58" s="153">
        <f t="shared" si="108"/>
        <v>5.3476636381415457</v>
      </c>
      <c r="M58" s="154">
        <f t="shared" si="109"/>
        <v>14.015943121703337</v>
      </c>
      <c r="N58" s="111"/>
      <c r="O58" s="119"/>
      <c r="R58" s="54"/>
      <c r="S58" s="54"/>
      <c r="T58" s="54"/>
      <c r="U58" s="54"/>
      <c r="AJ58" s="37"/>
      <c r="AK58" s="37"/>
      <c r="AL58" s="72"/>
      <c r="AM58" s="72"/>
      <c r="AN58" s="72"/>
      <c r="AO58" s="72"/>
      <c r="AP58" s="72"/>
      <c r="AQ58" s="72"/>
      <c r="AR58" s="72"/>
      <c r="AS58" s="72"/>
      <c r="AT58" s="62"/>
      <c r="AU58" s="72"/>
      <c r="AV58" s="72"/>
      <c r="AW58" s="72"/>
    </row>
    <row r="59" spans="1:49" ht="18" customHeight="1">
      <c r="A59" s="165">
        <f>_xlfn.XLOOKUP(B59,'Global sales'!$K$3:$K$30,'Global sales'!$L$3:$L$30,0)</f>
        <v>7</v>
      </c>
      <c r="B59" s="171" t="s">
        <v>99</v>
      </c>
      <c r="C59" s="153">
        <f t="shared" si="99"/>
        <v>3.3267511964491375E-2</v>
      </c>
      <c r="D59" s="153">
        <f t="shared" si="100"/>
        <v>0</v>
      </c>
      <c r="E59" s="153" t="s">
        <v>100</v>
      </c>
      <c r="F59" s="153" t="s">
        <v>100</v>
      </c>
      <c r="G59" s="153" t="s">
        <v>100</v>
      </c>
      <c r="H59" s="153">
        <f t="shared" si="104"/>
        <v>0</v>
      </c>
      <c r="I59" s="153">
        <f t="shared" si="105"/>
        <v>0</v>
      </c>
      <c r="J59" s="153">
        <f t="shared" si="106"/>
        <v>32.055107731927649</v>
      </c>
      <c r="K59" s="153">
        <f t="shared" si="107"/>
        <v>3.9726387118972335</v>
      </c>
      <c r="L59" s="153">
        <f t="shared" si="108"/>
        <v>0</v>
      </c>
      <c r="M59" s="154">
        <f t="shared" si="109"/>
        <v>4.0086275235301798</v>
      </c>
      <c r="N59" s="118"/>
      <c r="O59" s="33"/>
      <c r="R59" s="54"/>
      <c r="S59" s="54"/>
      <c r="T59" s="54"/>
      <c r="U59" s="54"/>
      <c r="AJ59" s="37"/>
      <c r="AK59" s="37"/>
      <c r="AL59" s="72"/>
      <c r="AM59" s="72"/>
      <c r="AN59" s="72"/>
      <c r="AO59" s="72"/>
      <c r="AP59" s="72"/>
      <c r="AQ59" s="72"/>
      <c r="AR59" s="72"/>
      <c r="AS59" s="72"/>
      <c r="AT59" s="62"/>
      <c r="AU59" s="72"/>
      <c r="AV59" s="72"/>
      <c r="AW59" s="72"/>
    </row>
    <row r="60" spans="1:49">
      <c r="A60" s="165">
        <f>_xlfn.XLOOKUP(B60,'Global sales'!$K$3:$K$30,'Global sales'!$L$3:$L$30,0)</f>
        <v>9</v>
      </c>
      <c r="B60" s="171" t="s">
        <v>65</v>
      </c>
      <c r="C60" s="153">
        <f t="shared" si="99"/>
        <v>16.999722384591578</v>
      </c>
      <c r="D60" s="153">
        <f t="shared" si="100"/>
        <v>54.556765163297051</v>
      </c>
      <c r="E60" s="153">
        <f t="shared" ref="E60:E71" si="110">($E$96-E84)/(E$96-$E$97)*100</f>
        <v>73.130800288989775</v>
      </c>
      <c r="F60" s="153">
        <f t="shared" ref="F60:F71" si="111">(F84-$F$97)/(F$96-$F$97)*100</f>
        <v>54.272727272727273</v>
      </c>
      <c r="G60" s="153">
        <f t="shared" ref="G60:G71" si="112">(G84-$G$97)/(G$96-$G$97)*100</f>
        <v>90.206146689072398</v>
      </c>
      <c r="H60" s="153">
        <f t="shared" si="104"/>
        <v>100</v>
      </c>
      <c r="I60" s="153">
        <f t="shared" si="105"/>
        <v>93.277640506726271</v>
      </c>
      <c r="J60" s="153">
        <f t="shared" si="106"/>
        <v>84.093613190204309</v>
      </c>
      <c r="K60" s="153">
        <f t="shared" si="107"/>
        <v>17.3382513655807</v>
      </c>
      <c r="L60" s="153">
        <f t="shared" si="108"/>
        <v>60.199475776727361</v>
      </c>
      <c r="M60" s="154">
        <f t="shared" si="109"/>
        <v>57.277606723206077</v>
      </c>
      <c r="O60" s="33"/>
      <c r="R60" s="54"/>
      <c r="S60" s="54"/>
      <c r="T60" s="54"/>
      <c r="U60" s="54"/>
      <c r="AJ60" s="37"/>
      <c r="AK60" s="37"/>
      <c r="AL60" s="72"/>
      <c r="AM60" s="72"/>
      <c r="AN60" s="72"/>
      <c r="AO60" s="72"/>
      <c r="AP60" s="72"/>
      <c r="AQ60" s="72"/>
      <c r="AR60" s="72"/>
      <c r="AS60" s="72"/>
      <c r="AT60" s="62"/>
      <c r="AU60" s="72"/>
      <c r="AV60" s="72"/>
      <c r="AW60" s="72"/>
    </row>
    <row r="61" spans="1:49">
      <c r="A61" s="165">
        <f>_xlfn.XLOOKUP(B61,'Global sales'!$K$3:$K$30,'Global sales'!$L$3:$L$30,0)</f>
        <v>15</v>
      </c>
      <c r="B61" s="171" t="s">
        <v>68</v>
      </c>
      <c r="C61" s="153">
        <f t="shared" si="99"/>
        <v>40.349968334326093</v>
      </c>
      <c r="D61" s="153">
        <f t="shared" si="100"/>
        <v>100</v>
      </c>
      <c r="E61" s="153">
        <f t="shared" si="110"/>
        <v>55.702592800119646</v>
      </c>
      <c r="F61" s="153">
        <f t="shared" si="111"/>
        <v>12.791493506493506</v>
      </c>
      <c r="G61" s="153">
        <f t="shared" si="112"/>
        <v>25.643887854753022</v>
      </c>
      <c r="H61" s="153">
        <f t="shared" si="104"/>
        <v>0</v>
      </c>
      <c r="I61" s="153">
        <f t="shared" si="105"/>
        <v>83.172294243102669</v>
      </c>
      <c r="J61" s="153">
        <f t="shared" si="106"/>
        <v>72.902199478111669</v>
      </c>
      <c r="K61" s="153">
        <f t="shared" si="107"/>
        <v>64.785814916325208</v>
      </c>
      <c r="L61" s="153">
        <f t="shared" si="108"/>
        <v>0</v>
      </c>
      <c r="M61" s="154">
        <f t="shared" si="109"/>
        <v>50.51101421540082</v>
      </c>
      <c r="O61" s="33"/>
      <c r="R61" s="54"/>
      <c r="S61" s="54"/>
      <c r="T61" s="54"/>
      <c r="U61" s="54"/>
      <c r="AJ61" s="37"/>
      <c r="AK61" s="37"/>
      <c r="AL61" s="72"/>
      <c r="AM61" s="72"/>
      <c r="AN61" s="72"/>
      <c r="AO61" s="72"/>
      <c r="AP61" s="72"/>
      <c r="AQ61" s="72"/>
      <c r="AR61" s="72"/>
      <c r="AS61" s="72"/>
      <c r="AT61" s="62"/>
      <c r="AU61" s="72"/>
      <c r="AV61" s="72"/>
      <c r="AW61" s="72"/>
    </row>
    <row r="62" spans="1:49">
      <c r="A62" s="165">
        <f>_xlfn.XLOOKUP(B62,'Global sales'!$K$3:$K$30,'Global sales'!$L$3:$L$30,0)</f>
        <v>10</v>
      </c>
      <c r="B62" s="171" t="s">
        <v>71</v>
      </c>
      <c r="C62" s="153">
        <f t="shared" si="99"/>
        <v>15.163298099879094</v>
      </c>
      <c r="D62" s="153">
        <f t="shared" si="100"/>
        <v>49.611197511664074</v>
      </c>
      <c r="E62" s="153">
        <f t="shared" si="110"/>
        <v>50.256649556696196</v>
      </c>
      <c r="F62" s="153">
        <f t="shared" si="111"/>
        <v>42.855194805194806</v>
      </c>
      <c r="G62" s="153">
        <f t="shared" si="112"/>
        <v>82.362133933500886</v>
      </c>
      <c r="H62" s="153">
        <f t="shared" si="104"/>
        <v>100</v>
      </c>
      <c r="I62" s="153">
        <f t="shared" si="105"/>
        <v>93.441909849273486</v>
      </c>
      <c r="J62" s="153">
        <f t="shared" si="106"/>
        <v>90.259180675727521</v>
      </c>
      <c r="K62" s="153">
        <f t="shared" si="107"/>
        <v>41.720119660698316</v>
      </c>
      <c r="L62" s="153">
        <f t="shared" si="108"/>
        <v>14.510690072349325</v>
      </c>
      <c r="M62" s="154">
        <f t="shared" si="109"/>
        <v>51.666807412543243</v>
      </c>
      <c r="N62" s="112"/>
      <c r="O62" s="33"/>
      <c r="R62" s="54"/>
      <c r="S62" s="54"/>
      <c r="T62" s="54"/>
      <c r="U62" s="54"/>
      <c r="AJ62" s="37"/>
      <c r="AK62" s="37"/>
      <c r="AL62" s="72"/>
      <c r="AM62" s="72"/>
      <c r="AN62" s="72"/>
      <c r="AO62" s="72"/>
      <c r="AP62" s="72"/>
      <c r="AQ62" s="72"/>
      <c r="AR62" s="72"/>
      <c r="AS62" s="72"/>
      <c r="AT62" s="62"/>
      <c r="AU62" s="72"/>
      <c r="AV62" s="72"/>
      <c r="AW62" s="72"/>
    </row>
    <row r="63" spans="1:49" ht="17" customHeight="1">
      <c r="A63" s="165">
        <f>_xlfn.XLOOKUP(B63,'Global sales'!$K$3:$K$30,'Global sales'!$L$3:$L$30,0)</f>
        <v>19</v>
      </c>
      <c r="B63" s="171" t="s">
        <v>72</v>
      </c>
      <c r="C63" s="153">
        <f t="shared" si="99"/>
        <v>29.384545408330066</v>
      </c>
      <c r="D63" s="153">
        <f t="shared" si="100"/>
        <v>78.38258164852256</v>
      </c>
      <c r="E63" s="153">
        <f t="shared" si="110"/>
        <v>36.710525604599326</v>
      </c>
      <c r="F63" s="153">
        <f t="shared" si="111"/>
        <v>35.287077922077927</v>
      </c>
      <c r="G63" s="153">
        <f t="shared" si="112"/>
        <v>51.480255714815826</v>
      </c>
      <c r="H63" s="153">
        <f t="shared" si="104"/>
        <v>6.8548295604952454</v>
      </c>
      <c r="I63" s="153">
        <f t="shared" si="105"/>
        <v>97.543905095411333</v>
      </c>
      <c r="J63" s="153">
        <f t="shared" si="106"/>
        <v>86.676806594683526</v>
      </c>
      <c r="K63" s="153">
        <f t="shared" si="107"/>
        <v>44.654923041222332</v>
      </c>
      <c r="L63" s="153">
        <f t="shared" si="108"/>
        <v>3.6289733982731684</v>
      </c>
      <c r="M63" s="154">
        <f t="shared" si="109"/>
        <v>48.148594439766413</v>
      </c>
      <c r="N63" s="112"/>
      <c r="O63" s="119"/>
      <c r="R63" s="54"/>
      <c r="S63" s="54"/>
      <c r="T63" s="54"/>
      <c r="U63" s="54"/>
      <c r="AJ63" s="37"/>
      <c r="AK63" s="37"/>
      <c r="AL63" s="72"/>
      <c r="AM63" s="72"/>
      <c r="AN63" s="72"/>
      <c r="AO63" s="72"/>
      <c r="AP63" s="72"/>
      <c r="AQ63" s="72"/>
      <c r="AR63" s="72"/>
      <c r="AS63" s="72"/>
      <c r="AT63" s="62"/>
      <c r="AU63" s="72"/>
      <c r="AV63" s="72"/>
      <c r="AW63" s="72"/>
    </row>
    <row r="64" spans="1:49" ht="17" customHeight="1">
      <c r="A64" s="165">
        <f>_xlfn.XLOOKUP(B64,'Global sales'!$K$3:$K$30,'Global sales'!$L$3:$L$30,0)</f>
        <v>13</v>
      </c>
      <c r="B64" s="171" t="s">
        <v>82</v>
      </c>
      <c r="C64" s="153">
        <f t="shared" si="99"/>
        <v>9.7242959325826241</v>
      </c>
      <c r="D64" s="153">
        <f t="shared" si="100"/>
        <v>73.888024883359265</v>
      </c>
      <c r="E64" s="155">
        <f t="shared" si="110"/>
        <v>41.490927631851562</v>
      </c>
      <c r="F64" s="153">
        <f t="shared" si="111"/>
        <v>15.27688311688312</v>
      </c>
      <c r="G64" s="153">
        <f t="shared" si="112"/>
        <v>26.548966249626659</v>
      </c>
      <c r="H64" s="153">
        <f t="shared" si="104"/>
        <v>0</v>
      </c>
      <c r="I64" s="153">
        <f t="shared" si="105"/>
        <v>94.927315924490543</v>
      </c>
      <c r="J64" s="153">
        <f t="shared" si="106"/>
        <v>84.251026161067131</v>
      </c>
      <c r="K64" s="153">
        <f t="shared" si="107"/>
        <v>11.116303009208018</v>
      </c>
      <c r="L64" s="153">
        <f t="shared" si="108"/>
        <v>23.766636901486354</v>
      </c>
      <c r="M64" s="154">
        <f t="shared" si="109"/>
        <v>39.055433672153946</v>
      </c>
      <c r="N64" s="112"/>
      <c r="O64" s="33"/>
      <c r="R64" s="54"/>
      <c r="S64" s="54"/>
      <c r="T64" s="54"/>
      <c r="U64" s="54"/>
      <c r="AJ64" s="37"/>
      <c r="AK64" s="37"/>
      <c r="AL64" s="72"/>
      <c r="AM64" s="72"/>
      <c r="AN64" s="72"/>
      <c r="AO64" s="72"/>
      <c r="AP64" s="72"/>
      <c r="AQ64" s="72"/>
      <c r="AR64" s="72"/>
      <c r="AS64" s="72"/>
      <c r="AT64" s="62"/>
      <c r="AU64" s="72"/>
      <c r="AV64" s="72"/>
      <c r="AW64" s="72"/>
    </row>
    <row r="65" spans="1:49">
      <c r="A65" s="165">
        <f>_xlfn.XLOOKUP(B65,'Global sales'!$K$3:$K$30,'Global sales'!$L$3:$L$30,0)</f>
        <v>11</v>
      </c>
      <c r="B65" s="171" t="s">
        <v>76</v>
      </c>
      <c r="C65" s="153">
        <f t="shared" si="99"/>
        <v>20.759895960059762</v>
      </c>
      <c r="D65" s="153">
        <f t="shared" si="100"/>
        <v>93.312597200622079</v>
      </c>
      <c r="E65" s="153">
        <f t="shared" si="110"/>
        <v>38.792729133373079</v>
      </c>
      <c r="F65" s="153">
        <f t="shared" si="111"/>
        <v>5.349740259740261</v>
      </c>
      <c r="G65" s="153">
        <f t="shared" si="112"/>
        <v>21.420188678676052</v>
      </c>
      <c r="H65" s="153">
        <f t="shared" si="104"/>
        <v>0</v>
      </c>
      <c r="I65" s="153">
        <f t="shared" si="105"/>
        <v>100</v>
      </c>
      <c r="J65" s="153">
        <f t="shared" si="106"/>
        <v>72.907928613462857</v>
      </c>
      <c r="K65" s="153">
        <f t="shared" si="107"/>
        <v>35.849276024777652</v>
      </c>
      <c r="L65" s="153">
        <f t="shared" si="108"/>
        <v>0</v>
      </c>
      <c r="M65" s="154">
        <f t="shared" si="109"/>
        <v>42.133726580259655</v>
      </c>
      <c r="N65" s="68"/>
      <c r="O65" s="33"/>
      <c r="R65" s="54"/>
      <c r="S65" s="54"/>
      <c r="T65" s="54"/>
      <c r="U65" s="54"/>
      <c r="AJ65" s="37"/>
      <c r="AK65" s="37"/>
      <c r="AL65" s="72"/>
      <c r="AM65" s="72"/>
      <c r="AN65" s="72"/>
      <c r="AO65" s="72"/>
      <c r="AP65" s="72"/>
      <c r="AQ65" s="72"/>
      <c r="AR65" s="72"/>
      <c r="AS65" s="72"/>
      <c r="AT65" s="72"/>
      <c r="AV65" s="72"/>
      <c r="AW65" s="72"/>
    </row>
    <row r="66" spans="1:49">
      <c r="A66" s="165">
        <f>_xlfn.XLOOKUP(B66,'Global sales'!$K$3:$K$30,'Global sales'!$L$3:$L$30,0)</f>
        <v>12</v>
      </c>
      <c r="B66" s="171" t="s">
        <v>115</v>
      </c>
      <c r="C66" s="153">
        <f t="shared" si="99"/>
        <v>75.923244990263314</v>
      </c>
      <c r="D66" s="153">
        <f t="shared" si="100"/>
        <v>77.356143079315714</v>
      </c>
      <c r="E66" s="153">
        <f t="shared" si="110"/>
        <v>69.413030122316187</v>
      </c>
      <c r="F66" s="153">
        <f t="shared" si="111"/>
        <v>25.384480519480523</v>
      </c>
      <c r="G66" s="153">
        <f t="shared" si="112"/>
        <v>63.657180439445739</v>
      </c>
      <c r="H66" s="153">
        <f t="shared" si="104"/>
        <v>0</v>
      </c>
      <c r="I66" s="153">
        <f t="shared" si="105"/>
        <v>99.843887208508136</v>
      </c>
      <c r="J66" s="153">
        <f>(J90-$J$97)/(J$96-$J$97)*100*'ZEV target'!$D$59</f>
        <v>75.929554695537149</v>
      </c>
      <c r="K66" s="153">
        <f t="shared" si="107"/>
        <v>67.685836123973104</v>
      </c>
      <c r="L66" s="153">
        <f t="shared" si="108"/>
        <v>100</v>
      </c>
      <c r="M66" s="154">
        <f t="shared" si="109"/>
        <v>69.834846655303238</v>
      </c>
      <c r="N66" s="112"/>
      <c r="O66" s="33"/>
      <c r="R66" s="54"/>
      <c r="S66" s="54"/>
      <c r="T66" s="54"/>
      <c r="U66" s="54"/>
      <c r="AJ66" s="37"/>
      <c r="AK66" s="37"/>
      <c r="AL66" s="72"/>
      <c r="AM66" s="72"/>
      <c r="AN66" s="72"/>
      <c r="AO66" s="72"/>
      <c r="AP66" s="72"/>
      <c r="AQ66" s="72"/>
      <c r="AR66" s="72"/>
      <c r="AS66" s="72"/>
      <c r="AT66" s="62"/>
      <c r="AU66" s="72"/>
      <c r="AV66" s="72"/>
      <c r="AW66" s="72"/>
    </row>
    <row r="67" spans="1:49">
      <c r="A67" s="165">
        <f>_xlfn.XLOOKUP(B67,'Global sales'!$K$3:$K$30,'Global sales'!$L$3:$L$30,0)</f>
        <v>14</v>
      </c>
      <c r="B67" s="171" t="s">
        <v>61</v>
      </c>
      <c r="C67" s="153">
        <f t="shared" si="99"/>
        <v>100</v>
      </c>
      <c r="D67" s="153">
        <f t="shared" si="100"/>
        <v>46.283048211508557</v>
      </c>
      <c r="E67" s="153">
        <f t="shared" si="110"/>
        <v>94.024362339807979</v>
      </c>
      <c r="F67" s="153">
        <f t="shared" si="111"/>
        <v>100</v>
      </c>
      <c r="G67" s="153">
        <f t="shared" si="112"/>
        <v>100</v>
      </c>
      <c r="H67" s="153">
        <f t="shared" si="104"/>
        <v>0</v>
      </c>
      <c r="I67" s="153">
        <f t="shared" si="105"/>
        <v>100</v>
      </c>
      <c r="J67" s="153">
        <f>(J91-$J$97)/(J$96-$J$97)*100</f>
        <v>100</v>
      </c>
      <c r="K67" s="153">
        <f t="shared" si="107"/>
        <v>100</v>
      </c>
      <c r="L67" s="153">
        <f t="shared" si="108"/>
        <v>100</v>
      </c>
      <c r="M67" s="154">
        <f t="shared" si="109"/>
        <v>83.98213219123862</v>
      </c>
      <c r="N67" s="112"/>
      <c r="O67" s="119"/>
      <c r="R67" s="54"/>
      <c r="S67" s="54"/>
      <c r="T67" s="54"/>
      <c r="U67" s="54"/>
      <c r="AJ67" s="37"/>
      <c r="AK67" s="37"/>
      <c r="AL67" s="72"/>
      <c r="AM67" s="72"/>
      <c r="AN67" s="72"/>
      <c r="AO67" s="72"/>
      <c r="AP67" s="72"/>
      <c r="AQ67" s="72"/>
      <c r="AR67" s="72"/>
      <c r="AS67" s="72"/>
      <c r="AT67" s="62"/>
      <c r="AU67" s="72"/>
      <c r="AV67" s="72"/>
      <c r="AW67" s="72"/>
    </row>
    <row r="68" spans="1:49">
      <c r="A68" s="165">
        <f>_xlfn.XLOOKUP(B68,'Global sales'!$K$3:$K$30,'Global sales'!$L$3:$L$30,0)</f>
        <v>20</v>
      </c>
      <c r="B68" s="171" t="s">
        <v>79</v>
      </c>
      <c r="C68" s="153">
        <f t="shared" si="99"/>
        <v>8.1490594017509572</v>
      </c>
      <c r="D68" s="153">
        <f t="shared" si="100"/>
        <v>23.125972006220845</v>
      </c>
      <c r="E68" s="153">
        <f t="shared" si="110"/>
        <v>100</v>
      </c>
      <c r="F68" s="153">
        <f t="shared" si="111"/>
        <v>5.1324025974025975</v>
      </c>
      <c r="G68" s="153">
        <f t="shared" si="112"/>
        <v>41.633606164187256</v>
      </c>
      <c r="H68" s="153">
        <f t="shared" si="104"/>
        <v>6.7587294254509542</v>
      </c>
      <c r="I68" s="153">
        <f t="shared" si="105"/>
        <v>80.723023389127718</v>
      </c>
      <c r="J68" s="153">
        <f>(J92-$J$97)/(J$96-$J$97)*100</f>
        <v>70.843402220310338</v>
      </c>
      <c r="K68" s="153">
        <f t="shared" si="107"/>
        <v>19.968372684724631</v>
      </c>
      <c r="L68" s="153">
        <f t="shared" si="108"/>
        <v>4.1295214532073992</v>
      </c>
      <c r="M68" s="154">
        <f t="shared" si="109"/>
        <v>31.3780556017668</v>
      </c>
      <c r="N68" s="112"/>
      <c r="O68" s="119"/>
      <c r="Q68" s="54"/>
      <c r="R68" s="54"/>
      <c r="S68" s="54"/>
      <c r="T68" s="54"/>
      <c r="U68" s="54"/>
      <c r="AJ68" s="37"/>
      <c r="AK68" s="37"/>
      <c r="AL68" s="72"/>
      <c r="AM68" s="72"/>
      <c r="AN68" s="72"/>
      <c r="AO68" s="72"/>
      <c r="AP68" s="72"/>
      <c r="AQ68" s="72"/>
      <c r="AR68" s="72"/>
      <c r="AS68" s="72"/>
      <c r="AT68" s="62"/>
      <c r="AU68" s="72"/>
      <c r="AV68" s="72"/>
      <c r="AW68" s="72"/>
    </row>
    <row r="69" spans="1:49">
      <c r="A69" s="165">
        <f>_xlfn.XLOOKUP(B69,'Global sales'!$K$3:$K$30,'Global sales'!$L$3:$L$30,0)</f>
        <v>17</v>
      </c>
      <c r="B69" s="171" t="s">
        <v>81</v>
      </c>
      <c r="C69" s="153">
        <f t="shared" si="99"/>
        <v>17.018702279601154</v>
      </c>
      <c r="D69" s="153">
        <f t="shared" si="100"/>
        <v>46.438569206842928</v>
      </c>
      <c r="E69" s="153">
        <f t="shared" si="110"/>
        <v>45.545071769990116</v>
      </c>
      <c r="F69" s="153">
        <f t="shared" si="111"/>
        <v>18.15285714285714</v>
      </c>
      <c r="G69" s="153">
        <f t="shared" si="112"/>
        <v>53.399625297544532</v>
      </c>
      <c r="H69" s="153">
        <f t="shared" si="104"/>
        <v>0</v>
      </c>
      <c r="I69" s="153">
        <f t="shared" si="105"/>
        <v>99.843767845005289</v>
      </c>
      <c r="J69" s="153">
        <f>(J93-$J$97)/(J$96-$J$97)*100</f>
        <v>88.764691115528862</v>
      </c>
      <c r="K69" s="153">
        <f t="shared" si="107"/>
        <v>2.9732319860742837</v>
      </c>
      <c r="L69" s="153">
        <f t="shared" si="108"/>
        <v>0</v>
      </c>
      <c r="M69" s="154">
        <f t="shared" si="109"/>
        <v>35.232069284945283</v>
      </c>
      <c r="N69" s="112"/>
      <c r="O69" s="119"/>
      <c r="P69" s="54"/>
      <c r="Q69" s="54"/>
      <c r="R69" s="54"/>
      <c r="S69" s="54"/>
      <c r="T69" s="54"/>
      <c r="U69" s="54"/>
      <c r="AJ69" s="37"/>
      <c r="AK69" s="37"/>
      <c r="AL69" s="72"/>
      <c r="AM69" s="72"/>
      <c r="AN69" s="72"/>
      <c r="AO69" s="72"/>
      <c r="AP69" s="72"/>
      <c r="AQ69" s="72"/>
      <c r="AR69" s="72"/>
      <c r="AS69" s="72"/>
      <c r="AT69" s="62"/>
      <c r="AU69" s="72"/>
      <c r="AV69" s="72"/>
      <c r="AW69" s="72"/>
    </row>
    <row r="70" spans="1:49">
      <c r="A70" s="165">
        <f>_xlfn.XLOOKUP(B70,'Global sales'!$K$3:$K$30,'Global sales'!$L$3:$L$30,0)</f>
        <v>28</v>
      </c>
      <c r="B70" s="171" t="s">
        <v>97</v>
      </c>
      <c r="C70" s="153">
        <f t="shared" si="99"/>
        <v>2.189629597510669</v>
      </c>
      <c r="D70" s="153">
        <f t="shared" si="100"/>
        <v>3.4992223950233283</v>
      </c>
      <c r="E70" s="153">
        <f t="shared" si="110"/>
        <v>0</v>
      </c>
      <c r="F70" s="153">
        <f t="shared" si="111"/>
        <v>18.808181818181815</v>
      </c>
      <c r="G70" s="153">
        <f t="shared" si="112"/>
        <v>2.2258894657925579</v>
      </c>
      <c r="H70" s="153">
        <f t="shared" si="104"/>
        <v>0</v>
      </c>
      <c r="I70" s="153">
        <f t="shared" si="105"/>
        <v>0</v>
      </c>
      <c r="J70" s="153">
        <f>(J94-$J$97)/(J$96-$J$97)*100</f>
        <v>37.630983897065292</v>
      </c>
      <c r="K70" s="153">
        <f t="shared" si="107"/>
        <v>14.665136975081881</v>
      </c>
      <c r="L70" s="153">
        <f t="shared" si="108"/>
        <v>0</v>
      </c>
      <c r="M70" s="154">
        <f t="shared" si="109"/>
        <v>8.1610935145925314</v>
      </c>
      <c r="N70" s="112"/>
      <c r="O70" s="119"/>
      <c r="P70" s="54"/>
      <c r="Q70" s="54"/>
      <c r="R70" s="54"/>
      <c r="S70" s="54"/>
      <c r="T70" s="54"/>
      <c r="U70" s="54"/>
      <c r="AJ70" s="37"/>
      <c r="AK70" s="37"/>
      <c r="AT70" s="37"/>
      <c r="AU70" s="72"/>
    </row>
    <row r="71" spans="1:49" ht="17" customHeight="1">
      <c r="A71" s="165">
        <f>_xlfn.XLOOKUP(B71,'Global sales'!$K$3:$K$30,'Global sales'!$L$3:$L$30,0)</f>
        <v>16</v>
      </c>
      <c r="B71" s="124" t="s">
        <v>90</v>
      </c>
      <c r="C71" s="153">
        <f t="shared" si="99"/>
        <v>17.431421078436358</v>
      </c>
      <c r="D71" s="153">
        <f t="shared" si="100"/>
        <v>77.682737169517893</v>
      </c>
      <c r="E71" s="153">
        <f t="shared" si="110"/>
        <v>45.973511675798186</v>
      </c>
      <c r="F71" s="153">
        <f t="shared" si="111"/>
        <v>3.7774025974025975</v>
      </c>
      <c r="G71" s="153">
        <f t="shared" si="112"/>
        <v>3.9220063777857561</v>
      </c>
      <c r="H71" s="153">
        <f t="shared" si="104"/>
        <v>0</v>
      </c>
      <c r="I71" s="153">
        <f t="shared" si="105"/>
        <v>100</v>
      </c>
      <c r="J71" s="153">
        <f>(J95-$J$97)/(J$96-$J$97)*100</f>
        <v>57.649606063229378</v>
      </c>
      <c r="K71" s="153">
        <f t="shared" si="107"/>
        <v>17.302487219672575</v>
      </c>
      <c r="L71" s="153">
        <f t="shared" si="108"/>
        <v>0</v>
      </c>
      <c r="M71" s="154">
        <f t="shared" si="109"/>
        <v>34.425231449491697</v>
      </c>
      <c r="N71" s="112"/>
      <c r="O71" s="119"/>
      <c r="P71" s="54"/>
      <c r="Q71" s="54"/>
      <c r="R71" s="54"/>
      <c r="S71" s="54"/>
      <c r="T71" s="54"/>
      <c r="U71" s="54"/>
      <c r="AJ71" s="37"/>
      <c r="AK71" s="37"/>
      <c r="AT71" s="37"/>
      <c r="AU71" s="72"/>
    </row>
    <row r="72" spans="1:49" ht="18" customHeight="1">
      <c r="A72" s="141"/>
      <c r="B72" s="74"/>
      <c r="C72" s="142"/>
      <c r="D72" s="142"/>
      <c r="E72" s="142"/>
      <c r="F72" s="142"/>
      <c r="G72" s="142"/>
      <c r="H72" s="143"/>
      <c r="I72" s="142"/>
      <c r="J72" s="142"/>
      <c r="K72" s="143"/>
      <c r="L72" s="142"/>
      <c r="M72" s="144"/>
      <c r="N72" s="112"/>
      <c r="O72" s="119"/>
      <c r="AT72" s="37"/>
      <c r="AU72" s="72"/>
    </row>
    <row r="73" spans="1:49" ht="35" customHeight="1">
      <c r="A73" s="34" t="s">
        <v>116</v>
      </c>
      <c r="N73" s="112"/>
      <c r="O73" s="119"/>
      <c r="AU73" s="72"/>
    </row>
    <row r="74" spans="1:49" ht="36" customHeight="1">
      <c r="A74" s="172" t="s">
        <v>102</v>
      </c>
      <c r="B74" s="170" t="s">
        <v>31</v>
      </c>
      <c r="C74" s="145" t="s">
        <v>38</v>
      </c>
      <c r="D74" s="146" t="s">
        <v>13</v>
      </c>
      <c r="E74" s="147" t="s">
        <v>40</v>
      </c>
      <c r="F74" s="147" t="s">
        <v>111</v>
      </c>
      <c r="G74" s="147" t="s">
        <v>112</v>
      </c>
      <c r="H74" s="147" t="s">
        <v>113</v>
      </c>
      <c r="I74" s="147" t="s">
        <v>42</v>
      </c>
      <c r="J74" s="148" t="s">
        <v>26</v>
      </c>
      <c r="K74" s="148" t="s">
        <v>28</v>
      </c>
      <c r="L74" s="152" t="s">
        <v>114</v>
      </c>
      <c r="N74" s="112"/>
      <c r="O74" s="119"/>
      <c r="AU74" s="72"/>
    </row>
    <row r="75" spans="1:49">
      <c r="A75" s="165">
        <f>_xlfn.XLOOKUP(B75,'Global sales'!$K$3:$K$30,'Global sales'!$L$3:$L$30,0)</f>
        <v>1</v>
      </c>
      <c r="B75" s="171" t="s">
        <v>77</v>
      </c>
      <c r="C75" s="159">
        <f>_xlfn.XLOOKUP(B75,'ZEV eq sales share'!B:B,'ZEV eq sales share'!M:M)</f>
        <v>1.7406583867304759</v>
      </c>
      <c r="D75" s="159">
        <f>_xlfn.XLOOKUP(B75,'ZEV class coverage'!$Q$5:$Q$25,'ZEV class coverage'!$S$5:$S$25)*100</f>
        <v>22.125</v>
      </c>
      <c r="E75" s="158">
        <f>_xlfn.XLOOKUP(B75,'Energy consumption'!B:B,'Energy consumption'!L:L)</f>
        <v>129.96250000000001</v>
      </c>
      <c r="F75" s="158">
        <f>_xlfn.XLOOKUP(B75,'Charging speed'!B:B,'Charging speed'!H:H)</f>
        <v>67.6631</v>
      </c>
      <c r="G75" s="158">
        <f>_xlfn.XLOOKUP(B75,'Driving range'!B:B,'Driving range'!L:L)</f>
        <v>467</v>
      </c>
      <c r="H75" s="158">
        <f>_xlfn.XLOOKUP(B75,'Renewable energy'!$A$4:$A$33,'Renewable energy'!$P$4:$P$33)</f>
        <v>6.4846882771260104</v>
      </c>
      <c r="I75" s="158">
        <f>_xlfn.XLOOKUP(B75,'Battery recycle repurpose'!$A$2:$A$22,'Battery recycle repurpose'!$K$2:$K$22)</f>
        <v>59.107591621867151</v>
      </c>
      <c r="J75" s="423">
        <f>IFERROR(_xlfn.XLOOKUP(B75,'ZEV target'!$A$2:$A$46,'ZEV target'!$K$2:$K$46),0)</f>
        <v>0.41558441558441556</v>
      </c>
      <c r="K75" s="159">
        <f>_xlfn.XLOOKUP(B75,'ZEV investment'!$A$3:$A$23,'ZEV investment'!$H$3:$H$23)</f>
        <v>359.23597103480802</v>
      </c>
      <c r="L75" s="158">
        <f>_xlfn.XLOOKUP(B75,'Executive compensation'!$A$2:$A$22,'Executive compensation'!$K$2:$K$22)</f>
        <v>0</v>
      </c>
      <c r="M75" s="32"/>
      <c r="N75" s="112"/>
      <c r="O75" s="119"/>
      <c r="AU75" s="72"/>
    </row>
    <row r="76" spans="1:49">
      <c r="A76" s="165">
        <f>_xlfn.XLOOKUP(B76,'Global sales'!$K$3:$K$30,'Global sales'!$L$3:$L$30,0)</f>
        <v>2</v>
      </c>
      <c r="B76" s="171" t="s">
        <v>69</v>
      </c>
      <c r="C76" s="159">
        <f>_xlfn.XLOOKUP(B76,'ZEV eq sales share'!B:B,'ZEV eq sales share'!M:M)</f>
        <v>10.633433418972269</v>
      </c>
      <c r="D76" s="159">
        <f>_xlfn.XLOOKUP(B76,'ZEV class coverage'!$Q$5:$Q$25,'ZEV class coverage'!$S$5:$S$25)*100</f>
        <v>47.325000000000003</v>
      </c>
      <c r="E76" s="158">
        <f>_xlfn.XLOOKUP(B76,'Energy consumption'!B:B,'Energy consumption'!L:L)</f>
        <v>135.53630000000001</v>
      </c>
      <c r="F76" s="158">
        <f>_xlfn.XLOOKUP(B76,'Charging speed'!B:B,'Charging speed'!H:H)</f>
        <v>94.761700000000005</v>
      </c>
      <c r="G76" s="158">
        <f>_xlfn.XLOOKUP(B76,'Driving range'!B:B,'Driving range'!L:L)</f>
        <v>483</v>
      </c>
      <c r="H76" s="158">
        <f>_xlfn.XLOOKUP(B76,'Renewable energy'!$A$4:$A$33,'Renewable energy'!$P$4:$P$33)</f>
        <v>73.421024428575166</v>
      </c>
      <c r="I76" s="158">
        <f>_xlfn.XLOOKUP(B76,'Battery recycle repurpose'!$A$2:$A$22,'Battery recycle repurpose'!$K$2:$K$22)</f>
        <v>97.242998765071903</v>
      </c>
      <c r="J76" s="423">
        <f>IFERROR(_xlfn.XLOOKUP(B76,'ZEV target'!$A$2:$A$46,'ZEV target'!$K$2:$K$46),0)</f>
        <v>0.68550819886100012</v>
      </c>
      <c r="K76" s="159">
        <f>_xlfn.XLOOKUP(B76,'ZEV investment'!$A$3:$A$23,'ZEV investment'!$H$3:$H$23)</f>
        <v>841.62245122783816</v>
      </c>
      <c r="L76" s="158">
        <f>_xlfn.XLOOKUP(B76,'Executive compensation'!$A$2:$A$22,'Executive compensation'!$K$2:$K$22)</f>
        <v>2.1367521367521363</v>
      </c>
      <c r="M76" s="32"/>
      <c r="N76" s="112"/>
      <c r="O76" s="119"/>
      <c r="AU76" s="72"/>
    </row>
    <row r="77" spans="1:49">
      <c r="A77" s="165">
        <f>_xlfn.XLOOKUP(B77,'Global sales'!$K$3:$K$30,'Global sales'!$L$3:$L$30,0)</f>
        <v>18</v>
      </c>
      <c r="B77" s="171" t="s">
        <v>84</v>
      </c>
      <c r="C77" s="159">
        <f>_xlfn.XLOOKUP(B77,'ZEV eq sales share'!B:B,'ZEV eq sales share'!M:M)</f>
        <v>7.1711724078157335</v>
      </c>
      <c r="D77" s="159">
        <f>_xlfn.XLOOKUP(B77,'ZEV class coverage'!$Q$5:$Q$25,'ZEV class coverage'!$S$5:$S$25)*100</f>
        <v>24.1875</v>
      </c>
      <c r="E77" s="158">
        <f>_xlfn.XLOOKUP(B77,'Energy consumption'!B:B,'Energy consumption'!L:L)</f>
        <v>154.57259999999999</v>
      </c>
      <c r="F77" s="158">
        <f>_xlfn.XLOOKUP(B77,'Charging speed'!B:B,'Charging speed'!H:H)</f>
        <v>139.40600000000001</v>
      </c>
      <c r="G77" s="158">
        <f>_xlfn.XLOOKUP(B77,'Driving range'!B:B,'Driving range'!L:L)</f>
        <v>432</v>
      </c>
      <c r="H77" s="158">
        <f>_xlfn.XLOOKUP(B77,'Renewable energy'!$A$4:$A$33,'Renewable energy'!$P$4:$P$33)</f>
        <v>11.209790756576698</v>
      </c>
      <c r="I77" s="158">
        <f>_xlfn.XLOOKUP(B77,'Battery recycle repurpose'!$A$2:$A$22,'Battery recycle repurpose'!$K$2:$K$22)</f>
        <v>100</v>
      </c>
      <c r="J77" s="423">
        <f>IFERROR(_xlfn.XLOOKUP(B77,'ZEV target'!$A$2:$A$46,'ZEV target'!$K$2:$K$46),0)</f>
        <v>0.46425007849122873</v>
      </c>
      <c r="K77" s="159">
        <f>_xlfn.XLOOKUP(B77,'ZEV investment'!$A$3:$A$23,'ZEV investment'!$H$3:$H$23)</f>
        <v>809.51708920824603</v>
      </c>
      <c r="L77" s="158">
        <f>_xlfn.XLOOKUP(B77,'Executive compensation'!$A$2:$A$22,'Executive compensation'!$K$2:$K$22)</f>
        <v>0</v>
      </c>
      <c r="M77" s="32"/>
      <c r="N77" s="112"/>
      <c r="O77" s="119"/>
      <c r="AU77" s="72"/>
    </row>
    <row r="78" spans="1:49" ht="16" customHeight="1">
      <c r="A78" s="165">
        <f>_xlfn.XLOOKUP(B78,'Global sales'!$K$3:$K$30,'Global sales'!$L$3:$L$30,0)</f>
        <v>4</v>
      </c>
      <c r="B78" s="171" t="s">
        <v>74</v>
      </c>
      <c r="C78" s="159">
        <f>_xlfn.XLOOKUP(B78,'ZEV eq sales share'!B:B,'ZEV eq sales share'!M:M)</f>
        <v>8.9539666340987036</v>
      </c>
      <c r="D78" s="159">
        <f>_xlfn.XLOOKUP(B78,'ZEV class coverage'!$Q$5:$Q$25,'ZEV class coverage'!$S$5:$S$25)*100</f>
        <v>54.337499999999991</v>
      </c>
      <c r="E78" s="158">
        <f>_xlfn.XLOOKUP(B78,'Energy consumption'!B:B,'Energy consumption'!L:L)</f>
        <v>152.01849999999999</v>
      </c>
      <c r="F78" s="158">
        <f>_xlfn.XLOOKUP(B78,'Charging speed'!B:B,'Charging speed'!H:H)</f>
        <v>65.638999999999996</v>
      </c>
      <c r="G78" s="158">
        <f>_xlfn.XLOOKUP(B78,'Driving range'!B:B,'Driving range'!L:L)</f>
        <v>313</v>
      </c>
      <c r="H78" s="158">
        <f>_xlfn.XLOOKUP(B78,'Renewable energy'!$A$4:$A$33,'Renewable energy'!$P$4:$P$33)</f>
        <v>0</v>
      </c>
      <c r="I78" s="158">
        <f>_xlfn.XLOOKUP(B78,'Battery recycle repurpose'!$A$2:$A$22,'Battery recycle repurpose'!$K$2:$K$22)</f>
        <v>98.648523991590451</v>
      </c>
      <c r="J78" s="423">
        <f>IFERROR(_xlfn.XLOOKUP(B78,'ZEV target'!$A$2:$A$46,'ZEV target'!$K$2:$K$46),0)</f>
        <v>0.86278723289147108</v>
      </c>
      <c r="K78" s="159">
        <f>_xlfn.XLOOKUP(B78,'ZEV investment'!$A$3:$A$23,'ZEV investment'!$H$3:$H$23)</f>
        <v>263.55109088639023</v>
      </c>
      <c r="L78" s="158">
        <f>_xlfn.XLOOKUP(B78,'Executive compensation'!$A$2:$A$22,'Executive compensation'!$K$2:$K$22)</f>
        <v>26.590884934370575</v>
      </c>
      <c r="M78" s="32"/>
      <c r="N78" s="112"/>
      <c r="O78" s="112"/>
      <c r="P78" s="55"/>
      <c r="Q78" s="55"/>
      <c r="AU78" s="72"/>
    </row>
    <row r="79" spans="1:49" ht="16" customHeight="1">
      <c r="A79" s="165">
        <f>_xlfn.XLOOKUP(B79,'Global sales'!$K$3:$K$30,'Global sales'!$L$3:$L$30,0)</f>
        <v>5</v>
      </c>
      <c r="B79" s="171" t="s">
        <v>89</v>
      </c>
      <c r="C79" s="159">
        <f>_xlfn.XLOOKUP(B79,'ZEV eq sales share'!B:B,'ZEV eq sales share'!M:M)</f>
        <v>0.67008984767629642</v>
      </c>
      <c r="D79" s="159">
        <f>_xlfn.XLOOKUP(B79,'ZEV class coverage'!$Q$5:$Q$25,'ZEV class coverage'!$S$5:$S$25)*100</f>
        <v>4.875</v>
      </c>
      <c r="E79" s="158">
        <f>_xlfn.XLOOKUP(B79,'Energy consumption'!B:B,'Energy consumption'!L:L)</f>
        <v>149.90119999999999</v>
      </c>
      <c r="F79" s="158">
        <f>_xlfn.XLOOKUP(B79,'Charging speed'!B:B,'Charging speed'!H:H)</f>
        <v>58.454599999999999</v>
      </c>
      <c r="G79" s="158">
        <f>_xlfn.XLOOKUP(B79,'Driving range'!B:B,'Driving range'!L:L)</f>
        <v>376</v>
      </c>
      <c r="H79" s="158">
        <f>_xlfn.XLOOKUP(B79,'Renewable energy'!$A$4:$A$33,'Renewable energy'!$P$4:$P$33)</f>
        <v>0</v>
      </c>
      <c r="I79" s="158">
        <f>_xlfn.XLOOKUP(B79,'Battery recycle repurpose'!$A$2:$A$22,'Battery recycle repurpose'!$K$2:$K$22)</f>
        <v>42.046206586700379</v>
      </c>
      <c r="J79" s="423">
        <f>IFERROR(_xlfn.XLOOKUP(B79,'ZEV target'!$A$2:$A$46,'ZEV target'!$K$2:$K$46),0)</f>
        <v>0.57983456223167995</v>
      </c>
      <c r="K79" s="159">
        <f>_xlfn.XLOOKUP(B79,'ZEV investment'!$A$3:$A$23,'ZEV investment'!$H$3:$H$23)</f>
        <v>733.69454969058609</v>
      </c>
      <c r="L79" s="158">
        <f>_xlfn.XLOOKUP(B79,'Executive compensation'!$A$2:$A$22,'Executive compensation'!$K$2:$K$22)</f>
        <v>0</v>
      </c>
      <c r="M79" s="32"/>
      <c r="N79" s="112"/>
      <c r="O79" s="112"/>
      <c r="P79" s="55"/>
      <c r="Q79" s="55"/>
      <c r="AK79" s="33"/>
      <c r="AL79" s="33"/>
      <c r="AM79" s="37"/>
      <c r="AN79" s="33"/>
      <c r="AO79" s="33"/>
      <c r="AP79" s="33"/>
      <c r="AQ79" s="33"/>
      <c r="AR79" s="33"/>
      <c r="AS79" s="37"/>
      <c r="AT79" s="33"/>
      <c r="AU79" s="33"/>
    </row>
    <row r="80" spans="1:49">
      <c r="A80" s="165">
        <f>_xlfn.XLOOKUP(B80,'Global sales'!$K$3:$K$30,'Global sales'!$L$3:$L$30,0)</f>
        <v>3</v>
      </c>
      <c r="B80" s="171" t="s">
        <v>70</v>
      </c>
      <c r="C80" s="159">
        <f>_xlfn.XLOOKUP(B80,'ZEV eq sales share'!B:B,'ZEV eq sales share'!M:M)</f>
        <v>4.0117291626590452</v>
      </c>
      <c r="D80" s="159">
        <f>_xlfn.XLOOKUP(B80,'ZEV class coverage'!$Q$5:$Q$25,'ZEV class coverage'!$S$5:$S$25)*100</f>
        <v>15.612500000000001</v>
      </c>
      <c r="E80" s="158">
        <f>_xlfn.XLOOKUP(B80,'Energy consumption'!B:B,'Energy consumption'!L:L)</f>
        <v>136.46950000000001</v>
      </c>
      <c r="F80" s="158">
        <f>_xlfn.XLOOKUP(B80,'Charging speed'!B:B,'Charging speed'!H:H)</f>
        <v>62.670400000000001</v>
      </c>
      <c r="G80" s="158">
        <f>_xlfn.XLOOKUP(B80,'Driving range'!B:B,'Driving range'!L:L)</f>
        <v>445</v>
      </c>
      <c r="H80" s="158">
        <f>_xlfn.XLOOKUP(B80,'Renewable energy'!$A$4:$A$33,'Renewable energy'!$P$4:$P$33)</f>
        <v>0</v>
      </c>
      <c r="I80" s="158">
        <f>_xlfn.XLOOKUP(B80,'Battery recycle repurpose'!$A$2:$A$22,'Battery recycle repurpose'!$K$2:$K$22)</f>
        <v>73.78780904485788</v>
      </c>
      <c r="J80" s="423">
        <f>IFERROR(_xlfn.XLOOKUP(B80,'ZEV target'!$A$2:$A$46,'ZEV target'!$K$2:$K$46),0)</f>
        <v>0.74694051506335069</v>
      </c>
      <c r="K80" s="159">
        <f>_xlfn.XLOOKUP(B80,'ZEV investment'!$A$3:$A$23,'ZEV investment'!$H$3:$H$23)</f>
        <v>368.30367990125939</v>
      </c>
      <c r="L80" s="158">
        <f>_xlfn.XLOOKUP(B80,'Executive compensation'!$A$2:$A$22,'Executive compensation'!$K$2:$K$22)</f>
        <v>14.593180937621074</v>
      </c>
      <c r="M80" s="32"/>
      <c r="N80" s="112"/>
      <c r="O80" s="112"/>
    </row>
    <row r="81" spans="1:47">
      <c r="A81" s="165">
        <f>_xlfn.XLOOKUP(B81,'Global sales'!$K$3:$K$30,'Global sales'!$L$3:$L$30,0)</f>
        <v>6</v>
      </c>
      <c r="B81" s="171" t="s">
        <v>80</v>
      </c>
      <c r="C81" s="159">
        <f>_xlfn.XLOOKUP(B81,'ZEV eq sales share'!B:B,'ZEV eq sales share'!M:M)</f>
        <v>3.9456928047497555</v>
      </c>
      <c r="D81" s="159">
        <f>_xlfn.XLOOKUP(B81,'ZEV class coverage'!$Q$5:$Q$25,'ZEV class coverage'!$S$5:$S$25)*100</f>
        <v>23.925000000000001</v>
      </c>
      <c r="E81" s="158">
        <f>_xlfn.XLOOKUP(B81,'Energy consumption'!B:B,'Energy consumption'!L:L)</f>
        <v>156.45099999999999</v>
      </c>
      <c r="F81" s="158">
        <f>_xlfn.XLOOKUP(B81,'Charging speed'!B:B,'Charging speed'!H:H)</f>
        <v>91.399500000000003</v>
      </c>
      <c r="G81" s="158">
        <f>_xlfn.XLOOKUP(B81,'Driving range'!B:B,'Driving range'!L:L)</f>
        <v>481</v>
      </c>
      <c r="H81" s="158">
        <f>_xlfn.XLOOKUP(B81,'Renewable energy'!$A$4:$A$33,'Renewable energy'!$P$4:$P$33)</f>
        <v>13.901546584128941</v>
      </c>
      <c r="I81" s="158">
        <f>_xlfn.XLOOKUP(B81,'Battery recycle repurpose'!$A$2:$A$22,'Battery recycle repurpose'!$K$2:$K$22)</f>
        <v>91.604059779313346</v>
      </c>
      <c r="J81" s="423">
        <f>IFERROR(_xlfn.XLOOKUP(B81,'ZEV target'!$A$2:$A$46,'ZEV target'!$K$2:$K$46),0)</f>
        <v>0.68118071391812507</v>
      </c>
      <c r="K81" s="159">
        <f>_xlfn.XLOOKUP(B81,'ZEV investment'!$A$3:$A$23,'ZEV investment'!$H$3:$H$23)</f>
        <v>412.93150060633775</v>
      </c>
      <c r="L81" s="158">
        <f>_xlfn.XLOOKUP(B81,'Executive compensation'!$A$2:$A$22,'Executive compensation'!$K$2:$K$22)</f>
        <v>2.9059829059829063</v>
      </c>
      <c r="M81" s="32"/>
      <c r="N81" s="112"/>
      <c r="O81" s="112"/>
    </row>
    <row r="82" spans="1:47">
      <c r="A82" s="165">
        <f>_xlfn.XLOOKUP(B82,'Global sales'!$K$3:$K$30,'Global sales'!$L$3:$L$30,0)</f>
        <v>8</v>
      </c>
      <c r="B82" s="171" t="s">
        <v>91</v>
      </c>
      <c r="C82" s="159">
        <f>_xlfn.XLOOKUP(B82,'ZEV eq sales share'!B:B,'ZEV eq sales share'!M:M)</f>
        <v>4.6077387497425155</v>
      </c>
      <c r="D82" s="159">
        <f>_xlfn.XLOOKUP(B82,'ZEV class coverage'!$Q$5:$Q$25,'ZEV class coverage'!$S$5:$S$25)*100</f>
        <v>22.849999999999998</v>
      </c>
      <c r="E82" s="158">
        <f>_xlfn.XLOOKUP(B82,'Energy consumption'!B:B,'Energy consumption'!L:L)</f>
        <v>159.23089999999999</v>
      </c>
      <c r="F82" s="158">
        <f>_xlfn.XLOOKUP(B82,'Charging speed'!B:B,'Charging speed'!H:H)</f>
        <v>51.499899999999997</v>
      </c>
      <c r="G82" s="158">
        <f>_xlfn.XLOOKUP(B82,'Driving range'!B:B,'Driving range'!L:L)</f>
        <v>296</v>
      </c>
      <c r="H82" s="158">
        <f>_xlfn.XLOOKUP(B82,'Renewable energy'!$A$4:$A$33,'Renewable energy'!$P$4:$P$33)</f>
        <v>0</v>
      </c>
      <c r="I82" s="158">
        <f>_xlfn.XLOOKUP(B82,'Battery recycle repurpose'!$A$2:$A$22,'Battery recycle repurpose'!$K$2:$K$22)</f>
        <v>33.14399324261035</v>
      </c>
      <c r="J82" s="423">
        <f>IFERROR(_xlfn.XLOOKUP(B82,'ZEV target'!$A$2:$A$46,'ZEV target'!$K$2:$K$46),0)</f>
        <v>0</v>
      </c>
      <c r="K82" s="159">
        <f>_xlfn.XLOOKUP(B82,'ZEV investment'!$A$3:$A$23,'ZEV investment'!$H$3:$H$23)</f>
        <v>361.312977836014</v>
      </c>
      <c r="L82" s="158">
        <f>_xlfn.XLOOKUP(B82,'Executive compensation'!$A$2:$A$22,'Executive compensation'!$K$2:$K$22)</f>
        <v>1.4219910846953936</v>
      </c>
      <c r="M82" s="32"/>
      <c r="N82" s="112"/>
      <c r="AJ82" s="37"/>
      <c r="AK82" s="37"/>
      <c r="AT82" s="37"/>
    </row>
    <row r="83" spans="1:47">
      <c r="A83" s="165">
        <f>_xlfn.XLOOKUP(B83,'Global sales'!$K$3:$K$30,'Global sales'!$L$3:$L$30,0)</f>
        <v>7</v>
      </c>
      <c r="B83" s="171" t="s">
        <v>99</v>
      </c>
      <c r="C83" s="159">
        <f>_xlfn.XLOOKUP(B83,'ZEV eq sales share'!B:B,'ZEV eq sales share'!M:M)</f>
        <v>3.3601875969840794E-2</v>
      </c>
      <c r="D83" s="159">
        <f>_xlfn.XLOOKUP(B83,'ZEV class coverage'!$Q$5:$Q$25,'ZEV class coverage'!$S$5:$S$25)*100</f>
        <v>0</v>
      </c>
      <c r="E83" s="153" t="s">
        <v>100</v>
      </c>
      <c r="F83" s="153" t="s">
        <v>100</v>
      </c>
      <c r="G83" s="153" t="s">
        <v>100</v>
      </c>
      <c r="H83" s="158">
        <f>_xlfn.XLOOKUP(B83,'Renewable energy'!$A$4:$A$33,'Renewable energy'!$P$4:$P$33)</f>
        <v>0</v>
      </c>
      <c r="I83" s="158">
        <f>_xlfn.XLOOKUP(B83,'Battery recycle repurpose'!$A$2:$A$22,'Battery recycle repurpose'!$K$2:$K$22)</f>
        <v>0</v>
      </c>
      <c r="J83" s="423">
        <f>IFERROR(_xlfn.XLOOKUP(B83,'ZEV target'!$A$2:$A$46,'ZEV target'!$K$2:$K$46),0)</f>
        <v>0.27656737700067857</v>
      </c>
      <c r="K83" s="159">
        <f>_xlfn.XLOOKUP(B83,'ZEV investment'!$A$3:$A$23,'ZEV investment'!$H$3:$H$23)</f>
        <v>160.01597881933594</v>
      </c>
      <c r="L83" s="158">
        <f>_xlfn.XLOOKUP(B83,'Executive compensation'!$A$2:$A$22,'Executive compensation'!$K$2:$K$22)</f>
        <v>0</v>
      </c>
      <c r="M83" s="32"/>
      <c r="N83" s="112"/>
      <c r="AJ83" s="37"/>
      <c r="AK83" s="37"/>
      <c r="AL83" s="72"/>
      <c r="AM83" s="72"/>
      <c r="AN83" s="72"/>
      <c r="AO83" s="72"/>
      <c r="AP83" s="72"/>
      <c r="AQ83" s="72"/>
      <c r="AR83" s="72"/>
      <c r="AS83" s="72"/>
      <c r="AT83" s="62"/>
      <c r="AU83" s="72"/>
    </row>
    <row r="84" spans="1:47">
      <c r="A84" s="165">
        <f>_xlfn.XLOOKUP(B84,'Global sales'!$K$3:$K$30,'Global sales'!$L$3:$L$30,0)</f>
        <v>9</v>
      </c>
      <c r="B84" s="171" t="s">
        <v>65</v>
      </c>
      <c r="C84" s="159">
        <f>_xlfn.XLOOKUP(B84,'ZEV eq sales share'!B:B,'ZEV eq sales share'!M:M)</f>
        <v>17</v>
      </c>
      <c r="D84" s="159">
        <f>_xlfn.XLOOKUP(B84,'ZEV class coverage'!$Q$5:$Q$25,'ZEV class coverage'!$S$5:$S$25)*100</f>
        <v>43.85</v>
      </c>
      <c r="E84" s="158">
        <f>_xlfn.XLOOKUP(B84,'Energy consumption'!B:B,'Energy consumption'!L:L)</f>
        <v>128.65799999999999</v>
      </c>
      <c r="F84" s="158">
        <f>_xlfn.XLOOKUP(B84,'Charging speed'!B:B,'Charging speed'!H:H)</f>
        <v>101.58</v>
      </c>
      <c r="G84" s="158">
        <f>_xlfn.XLOOKUP(B84,'Driving range'!B:B,'Driving range'!L:L)</f>
        <v>495</v>
      </c>
      <c r="H84" s="158">
        <f>_xlfn.XLOOKUP(B84,'Renewable energy'!$A$4:$A$33,'Renewable energy'!$P$4:$P$33)</f>
        <v>100</v>
      </c>
      <c r="I84" s="158">
        <f>_xlfn.XLOOKUP(B84,'Battery recycle repurpose'!$A$2:$A$22,'Battery recycle repurpose'!$K$2:$K$22)</f>
        <v>93.277640506726271</v>
      </c>
      <c r="J84" s="423">
        <f>IFERROR(_xlfn.XLOOKUP(B84,'ZEV target'!$A$2:$A$46,'ZEV target'!$K$2:$K$46),0)</f>
        <v>0.72554895828222088</v>
      </c>
      <c r="K84" s="159">
        <f>_xlfn.XLOOKUP(B84,'ZEV investment'!$A$3:$A$23,'ZEV investment'!$H$3:$H$23)</f>
        <v>658.30179371299187</v>
      </c>
      <c r="L84" s="158">
        <f>_xlfn.XLOOKUP(B84,'Executive compensation'!$A$2:$A$22,'Executive compensation'!$K$2:$K$22)</f>
        <v>16.007573334883858</v>
      </c>
      <c r="M84" s="32"/>
      <c r="N84" s="112"/>
      <c r="AJ84" s="37"/>
      <c r="AK84" s="37"/>
      <c r="AL84" s="72"/>
      <c r="AM84" s="72"/>
      <c r="AN84" s="72"/>
      <c r="AO84" s="72"/>
      <c r="AP84" s="72"/>
      <c r="AQ84" s="72"/>
      <c r="AR84" s="72"/>
      <c r="AS84" s="72"/>
      <c r="AT84" s="62"/>
      <c r="AU84" s="72"/>
    </row>
    <row r="85" spans="1:47">
      <c r="A85" s="165">
        <f>_xlfn.XLOOKUP(B85,'Global sales'!$K$3:$K$30,'Global sales'!$L$3:$L$30,0)</f>
        <v>15</v>
      </c>
      <c r="B85" s="171" t="s">
        <v>68</v>
      </c>
      <c r="C85" s="159">
        <f>_xlfn.XLOOKUP(B85,'ZEV eq sales share'!B:B,'ZEV eq sales share'!M:M)</f>
        <v>40.350167848934703</v>
      </c>
      <c r="D85" s="159">
        <f>_xlfn.XLOOKUP(B85,'ZEV class coverage'!$Q$5:$Q$25,'ZEV class coverage'!$S$5:$S$25)*100</f>
        <v>80.375</v>
      </c>
      <c r="E85" s="158">
        <f>_xlfn.XLOOKUP(B85,'Energy consumption'!B:B,'Energy consumption'!L:L)</f>
        <v>138.3313</v>
      </c>
      <c r="F85" s="158">
        <f>_xlfn.XLOOKUP(B85,'Charging speed'!B:B,'Charging speed'!H:H)</f>
        <v>37.698900000000002</v>
      </c>
      <c r="G85" s="158">
        <f>_xlfn.XLOOKUP(B85,'Driving range'!B:B,'Driving range'!L:L)</f>
        <v>281</v>
      </c>
      <c r="H85" s="158">
        <f>_xlfn.XLOOKUP(B85,'Renewable energy'!$A$4:$A$33,'Renewable energy'!$P$4:$P$33)</f>
        <v>0</v>
      </c>
      <c r="I85" s="158">
        <f>_xlfn.XLOOKUP(B85,'Battery recycle repurpose'!$A$2:$A$22,'Battery recycle repurpose'!$K$2:$K$22)</f>
        <v>83.172294243102669</v>
      </c>
      <c r="J85" s="423">
        <f>IFERROR(_xlfn.XLOOKUP(B85,'ZEV target'!$A$2:$A$46,'ZEV target'!$K$2:$K$46),0)</f>
        <v>0.62899086959422013</v>
      </c>
      <c r="K85" s="159">
        <f>_xlfn.XLOOKUP(B85,'ZEV investment'!$A$3:$A$23,'ZEV investment'!$H$3:$H$23)</f>
        <v>2427.2029642916241</v>
      </c>
      <c r="L85" s="158">
        <f>_xlfn.XLOOKUP(B85,'Executive compensation'!$A$2:$A$22,'Executive compensation'!$K$2:$K$22)</f>
        <v>0</v>
      </c>
      <c r="M85" s="32"/>
      <c r="N85" s="112"/>
      <c r="AJ85" s="37"/>
      <c r="AK85" s="37"/>
      <c r="AL85" s="72"/>
      <c r="AM85" s="72"/>
      <c r="AN85" s="72"/>
      <c r="AO85" s="72"/>
      <c r="AP85" s="72"/>
      <c r="AQ85" s="72"/>
      <c r="AR85" s="72"/>
      <c r="AS85" s="72"/>
      <c r="AT85" s="62"/>
      <c r="AU85" s="72"/>
    </row>
    <row r="86" spans="1:47">
      <c r="A86" s="165">
        <f>_xlfn.XLOOKUP(B86,'Global sales'!$K$3:$K$30,'Global sales'!$L$3:$L$30,0)</f>
        <v>10</v>
      </c>
      <c r="B86" s="171" t="s">
        <v>71</v>
      </c>
      <c r="C86" s="159">
        <f>_xlfn.XLOOKUP(B86,'ZEV eq sales share'!B:B,'ZEV eq sales share'!M:M)</f>
        <v>15.163581857672732</v>
      </c>
      <c r="D86" s="159">
        <f>_xlfn.XLOOKUP(B86,'ZEV class coverage'!$Q$5:$Q$25,'ZEV class coverage'!$S$5:$S$25)*100</f>
        <v>39.875</v>
      </c>
      <c r="E86" s="158">
        <f>_xlfn.XLOOKUP(B86,'Energy consumption'!B:B,'Energy consumption'!L:L)</f>
        <v>141.35400000000001</v>
      </c>
      <c r="F86" s="158">
        <f>_xlfn.XLOOKUP(B86,'Charging speed'!B:B,'Charging speed'!H:H)</f>
        <v>83.997</v>
      </c>
      <c r="G86" s="158">
        <f>_xlfn.XLOOKUP(B86,'Driving range'!B:B,'Driving range'!L:L)</f>
        <v>469</v>
      </c>
      <c r="H86" s="158">
        <f>_xlfn.XLOOKUP(B86,'Renewable energy'!$A$4:$A$33,'Renewable energy'!$P$4:$P$33)</f>
        <v>100</v>
      </c>
      <c r="I86" s="158">
        <f>_xlfn.XLOOKUP(B86,'Battery recycle repurpose'!$A$2:$A$22,'Battery recycle repurpose'!$K$2:$K$22)</f>
        <v>93.441909849273486</v>
      </c>
      <c r="J86" s="423">
        <f>IFERROR(_xlfn.XLOOKUP(B86,'ZEV target'!$A$2:$A$46,'ZEV target'!$K$2:$K$46),0)</f>
        <v>0.77874468738262292</v>
      </c>
      <c r="K86" s="159">
        <f>_xlfn.XLOOKUP(B86,'ZEV investment'!$A$3:$A$23,'ZEV investment'!$H$3:$H$23)</f>
        <v>1567.2866211847249</v>
      </c>
      <c r="L86" s="158">
        <f>_xlfn.XLOOKUP(B86,'Executive compensation'!$A$2:$A$22,'Executive compensation'!$K$2:$K$22)</f>
        <v>3.858520900321543</v>
      </c>
      <c r="M86" s="32"/>
      <c r="N86" s="112"/>
      <c r="AJ86" s="37"/>
      <c r="AK86" s="37"/>
      <c r="AL86" s="72"/>
      <c r="AM86" s="72"/>
      <c r="AN86" s="72"/>
      <c r="AO86" s="72"/>
      <c r="AP86" s="72"/>
      <c r="AQ86" s="72"/>
      <c r="AR86" s="72"/>
      <c r="AS86" s="72"/>
      <c r="AT86" s="62"/>
      <c r="AU86" s="72"/>
    </row>
    <row r="87" spans="1:47">
      <c r="A87" s="165">
        <f>_xlfn.XLOOKUP(B87,'Global sales'!$K$3:$K$30,'Global sales'!$L$3:$L$30,0)</f>
        <v>19</v>
      </c>
      <c r="B87" s="171" t="s">
        <v>72</v>
      </c>
      <c r="C87" s="159">
        <f>_xlfn.XLOOKUP(B87,'ZEV eq sales share'!B:B,'ZEV eq sales share'!M:M)</f>
        <v>29.384781599567379</v>
      </c>
      <c r="D87" s="159">
        <f>_xlfn.XLOOKUP(B87,'ZEV class coverage'!$Q$5:$Q$25,'ZEV class coverage'!$S$5:$S$25)*100</f>
        <v>63</v>
      </c>
      <c r="E87" s="158">
        <f>_xlfn.XLOOKUP(B87,'Energy consumption'!B:B,'Energy consumption'!L:L)</f>
        <v>148.87260000000001</v>
      </c>
      <c r="F87" s="158">
        <f>_xlfn.XLOOKUP(B87,'Charging speed'!B:B,'Charging speed'!H:H)</f>
        <v>72.342100000000002</v>
      </c>
      <c r="G87" s="158">
        <f>_xlfn.XLOOKUP(B87,'Driving range'!B:B,'Driving range'!L:L)</f>
        <v>366.63799999999998</v>
      </c>
      <c r="H87" s="158">
        <f>_xlfn.XLOOKUP(B87,'Renewable energy'!$A$4:$A$33,'Renewable energy'!$P$4:$P$33)</f>
        <v>6.8548295604952463</v>
      </c>
      <c r="I87" s="158">
        <f>_xlfn.XLOOKUP(B87,'Battery recycle repurpose'!$A$2:$A$22,'Battery recycle repurpose'!$K$2:$K$22)</f>
        <v>97.543905095411333</v>
      </c>
      <c r="J87" s="423">
        <f>IFERROR(_xlfn.XLOOKUP(B87,'ZEV target'!$A$2:$A$46,'ZEV target'!$K$2:$K$46),0)</f>
        <v>0.74783642117696203</v>
      </c>
      <c r="K87" s="159">
        <f>_xlfn.XLOOKUP(B87,'ZEV investment'!$A$3:$A$23,'ZEV investment'!$H$3:$H$23)</f>
        <v>1676.6995551001821</v>
      </c>
      <c r="L87" s="158">
        <f>_xlfn.XLOOKUP(B87,'Executive compensation'!$A$2:$A$22,'Executive compensation'!$K$2:$K$22)</f>
        <v>0.96497614063373582</v>
      </c>
      <c r="M87" s="32"/>
      <c r="N87" s="112"/>
      <c r="AJ87" s="37"/>
      <c r="AK87" s="37"/>
      <c r="AL87" s="72"/>
      <c r="AM87" s="72"/>
      <c r="AN87" s="72"/>
      <c r="AO87" s="72"/>
      <c r="AP87" s="72"/>
      <c r="AQ87" s="72"/>
      <c r="AR87" s="72"/>
      <c r="AS87" s="72"/>
      <c r="AT87" s="62"/>
      <c r="AU87" s="72"/>
    </row>
    <row r="88" spans="1:47">
      <c r="A88" s="165">
        <f>_xlfn.XLOOKUP(B88,'Global sales'!$K$3:$K$30,'Global sales'!$L$3:$L$30,0)</f>
        <v>13</v>
      </c>
      <c r="B88" s="171" t="s">
        <v>82</v>
      </c>
      <c r="C88" s="159">
        <f>_xlfn.XLOOKUP(B88,'ZEV eq sales share'!B:B,'ZEV eq sales share'!M:M)</f>
        <v>9.7245978824938248</v>
      </c>
      <c r="D88" s="159">
        <f>_xlfn.XLOOKUP(B88,'ZEV class coverage'!$Q$5:$Q$25,'ZEV class coverage'!$S$5:$S$25)*100</f>
        <v>59.387500000000003</v>
      </c>
      <c r="E88" s="158">
        <f>_xlfn.XLOOKUP(B88,'Energy consumption'!B:B,'Energy consumption'!L:L)</f>
        <v>146.2193</v>
      </c>
      <c r="F88" s="158">
        <f>_xlfn.XLOOKUP(B88,'Charging speed'!B:B,'Charging speed'!H:H)</f>
        <v>41.526400000000002</v>
      </c>
      <c r="G88" s="158">
        <f>_xlfn.XLOOKUP(B88,'Driving range'!B:B,'Driving range'!L:L)</f>
        <v>284</v>
      </c>
      <c r="H88" s="158">
        <f>_xlfn.XLOOKUP(B88,'Renewable energy'!$A$4:$A$33,'Renewable energy'!$P$4:$P$33)</f>
        <v>0</v>
      </c>
      <c r="I88" s="158">
        <f>_xlfn.XLOOKUP(B88,'Battery recycle repurpose'!$A$2:$A$22,'Battery recycle repurpose'!$K$2:$K$22)</f>
        <v>94.927315924490543</v>
      </c>
      <c r="J88" s="423">
        <f>IFERROR(_xlfn.XLOOKUP(B88,'ZEV target'!$A$2:$A$46,'ZEV target'!$K$2:$K$46),0)</f>
        <v>0.7269070972977405</v>
      </c>
      <c r="K88" s="159">
        <f>_xlfn.XLOOKUP(B88,'ZEV investment'!$A$3:$A$23,'ZEV investment'!$H$3:$H$23)</f>
        <v>426.34021534666221</v>
      </c>
      <c r="L88" s="158">
        <f>_xlfn.XLOOKUP(B88,'Executive compensation'!$A$2:$A$22,'Executive compensation'!$K$2:$K$22)</f>
        <v>6.3197590712438929</v>
      </c>
      <c r="M88" s="32"/>
      <c r="N88" s="112"/>
      <c r="O88" s="26"/>
      <c r="AJ88" s="37"/>
      <c r="AK88" s="37"/>
      <c r="AL88" s="72"/>
      <c r="AM88" s="72"/>
      <c r="AN88" s="72"/>
      <c r="AO88" s="72"/>
      <c r="AP88" s="72"/>
      <c r="AQ88" s="72"/>
      <c r="AR88" s="72"/>
      <c r="AS88" s="72"/>
      <c r="AT88" s="62"/>
      <c r="AU88" s="72"/>
    </row>
    <row r="89" spans="1:47">
      <c r="A89" s="165">
        <f>_xlfn.XLOOKUP(B89,'Global sales'!$K$3:$K$30,'Global sales'!$L$3:$L$30,0)</f>
        <v>11</v>
      </c>
      <c r="B89" s="171" t="s">
        <v>76</v>
      </c>
      <c r="C89" s="159">
        <f>_xlfn.XLOOKUP(B89,'ZEV eq sales share'!B:B,'ZEV eq sales share'!M:M)</f>
        <v>20.760160998617206</v>
      </c>
      <c r="D89" s="159">
        <f>_xlfn.XLOOKUP(B89,'ZEV class coverage'!$Q$5:$Q$25,'ZEV class coverage'!$S$5:$S$25)*100</f>
        <v>75</v>
      </c>
      <c r="E89" s="158">
        <f>_xlfn.XLOOKUP(B89,'Energy consumption'!B:B,'Energy consumption'!L:L)</f>
        <v>147.71690000000001</v>
      </c>
      <c r="F89" s="158">
        <f>_xlfn.XLOOKUP(B89,'Charging speed'!B:B,'Charging speed'!H:H)</f>
        <v>26.238600000000002</v>
      </c>
      <c r="G89" s="158">
        <f>_xlfn.XLOOKUP(B89,'Driving range'!B:B,'Driving range'!L:L)</f>
        <v>267</v>
      </c>
      <c r="H89" s="158">
        <f>_xlfn.XLOOKUP(B89,'Renewable energy'!$A$4:$A$33,'Renewable energy'!$P$4:$P$33)</f>
        <v>0</v>
      </c>
      <c r="I89" s="158">
        <f>_xlfn.XLOOKUP(B89,'Battery recycle repurpose'!$A$2:$A$22,'Battery recycle repurpose'!$K$2:$K$22)</f>
        <v>100</v>
      </c>
      <c r="J89" s="423">
        <f>IFERROR(_xlfn.XLOOKUP(B89,'ZEV target'!$A$2:$A$46,'ZEV target'!$K$2:$K$46),0)</f>
        <v>0.62904029984258525</v>
      </c>
      <c r="K89" s="159">
        <f>_xlfn.XLOOKUP(B89,'ZEV investment'!$A$3:$A$23,'ZEV investment'!$H$3:$H$23)</f>
        <v>1348.4146411987003</v>
      </c>
      <c r="L89" s="158">
        <f>_xlfn.XLOOKUP(B89,'Executive compensation'!$A$2:$A$22,'Executive compensation'!$K$2:$K$22)</f>
        <v>0</v>
      </c>
      <c r="M89" s="32"/>
      <c r="N89" s="112"/>
      <c r="O89" s="27"/>
      <c r="AJ89" s="37"/>
      <c r="AK89" s="37"/>
      <c r="AL89" s="72"/>
      <c r="AM89" s="72"/>
      <c r="AN89" s="72"/>
      <c r="AO89" s="72"/>
      <c r="AP89" s="72"/>
      <c r="AQ89" s="72"/>
      <c r="AR89" s="72"/>
      <c r="AS89" s="72"/>
      <c r="AT89" s="62"/>
      <c r="AU89" s="72"/>
    </row>
    <row r="90" spans="1:47">
      <c r="A90" s="165">
        <f>_xlfn.XLOOKUP(B90,'Global sales'!$K$3:$K$30,'Global sales'!$L$3:$L$30,0)</f>
        <v>12</v>
      </c>
      <c r="B90" s="171" t="s">
        <v>64</v>
      </c>
      <c r="C90" s="159">
        <f>_xlfn.XLOOKUP(B90,'ZEV eq sales share'!B:B,'ZEV eq sales share'!M:M)</f>
        <v>75.923325521056313</v>
      </c>
      <c r="D90" s="159">
        <f>_xlfn.XLOOKUP(B90,'ZEV class coverage'!$Q$5:$Q$25,'ZEV class coverage'!$S$5:$S$25)*100</f>
        <v>62.175000000000004</v>
      </c>
      <c r="E90" s="158">
        <f>_xlfn.XLOOKUP(B90,'Energy consumption'!B:B,'Energy consumption'!L:L)</f>
        <v>130.72149999999999</v>
      </c>
      <c r="F90" s="158">
        <f>_xlfn.XLOOKUP(B90,'Charging speed'!B:B,'Charging speed'!H:H)</f>
        <v>57.092100000000002</v>
      </c>
      <c r="G90" s="158">
        <f>_xlfn.XLOOKUP(B90,'Driving range'!B:B,'Driving range'!L:L)</f>
        <v>407</v>
      </c>
      <c r="H90" s="158">
        <f>_xlfn.XLOOKUP(B90,'Renewable energy'!$A$4:$A$33,'Renewable energy'!$P$4:$P$33)</f>
        <v>0</v>
      </c>
      <c r="I90" s="158">
        <f>_xlfn.XLOOKUP(B90,'Battery recycle repurpose'!$A$2:$A$22,'Battery recycle repurpose'!$K$2:$K$22)</f>
        <v>99.843887208508136</v>
      </c>
      <c r="J90" s="423">
        <f>IFERROR(_xlfn.XLOOKUP(B90,'ZEV target'!$A$2:$A$46,'ZEV target'!$K$2:$K$46),0)</f>
        <v>0.86278723289147097</v>
      </c>
      <c r="K90" s="159">
        <f>_xlfn.XLOOKUP(B90,'ZEV investment'!$A$3:$A$23,'ZEV investment'!$H$3:$H$23)</f>
        <v>2535.3191777495585</v>
      </c>
      <c r="L90" s="158">
        <f>_xlfn.XLOOKUP(B90,'Executive compensation'!$A$2:$A$22,'Executive compensation'!$K$2:$K$22)</f>
        <v>26.590884934370575</v>
      </c>
      <c r="M90" s="32"/>
      <c r="N90" s="112"/>
      <c r="AJ90" s="37"/>
      <c r="AK90" s="37"/>
      <c r="AL90" s="72"/>
      <c r="AM90" s="72"/>
      <c r="AN90" s="72"/>
      <c r="AO90" s="72"/>
      <c r="AP90" s="72"/>
      <c r="AQ90" s="72"/>
      <c r="AR90" s="72"/>
      <c r="AS90" s="72"/>
      <c r="AT90" s="62"/>
      <c r="AU90" s="72"/>
    </row>
    <row r="91" spans="1:47">
      <c r="A91" s="165">
        <f>_xlfn.XLOOKUP(B91,'Global sales'!$K$3:$K$30,'Global sales'!$L$3:$L$30,0)</f>
        <v>14</v>
      </c>
      <c r="B91" s="171" t="s">
        <v>61</v>
      </c>
      <c r="C91" s="159">
        <f>_xlfn.XLOOKUP(B91,'ZEV eq sales share'!B:B,'ZEV eq sales share'!M:M)</f>
        <v>100</v>
      </c>
      <c r="D91" s="159">
        <f>_xlfn.XLOOKUP(B91,'ZEV class coverage'!$Q$5:$Q$25,'ZEV class coverage'!$S$5:$S$25)*100</f>
        <v>37.200000000000003</v>
      </c>
      <c r="E91" s="158">
        <f>_xlfn.XLOOKUP(B91,'Energy consumption'!B:B,'Energy consumption'!L:L)</f>
        <v>117.0613</v>
      </c>
      <c r="F91" s="158">
        <f>_xlfn.XLOOKUP(B91,'Charging speed'!B:B,'Charging speed'!H:H)</f>
        <v>172</v>
      </c>
      <c r="G91" s="158">
        <f>_xlfn.XLOOKUP(B91,'Driving range'!B:B,'Driving range'!L:L)</f>
        <v>527.46299999999997</v>
      </c>
      <c r="H91" s="158">
        <f>_xlfn.XLOOKUP(B91,'Renewable energy'!$A$4:$A$33,'Renewable energy'!$P$4:$P$33)</f>
        <v>0</v>
      </c>
      <c r="I91" s="158">
        <f>_xlfn.XLOOKUP(B91,'Battery recycle repurpose'!$A$2:$A$22,'Battery recycle repurpose'!$K$2:$K$22)</f>
        <v>100</v>
      </c>
      <c r="J91" s="423">
        <f>IFERROR(_xlfn.XLOOKUP(B91,'ZEV target'!$A$2:$A$46,'ZEV target'!$K$2:$K$46),0)</f>
        <v>0.86278723289147108</v>
      </c>
      <c r="K91" s="159">
        <f>_xlfn.XLOOKUP(B91,'ZEV investment'!$A$3:$A$23,'ZEV investment'!$H$3:$H$23)</f>
        <v>3740.0293468068444</v>
      </c>
      <c r="L91" s="158">
        <f>_xlfn.XLOOKUP(B91,'Executive compensation'!$A$2:$A$22,'Executive compensation'!$K$2:$K$22)</f>
        <v>26.590884934370575</v>
      </c>
      <c r="M91" s="32"/>
      <c r="N91" s="112"/>
      <c r="AJ91" s="37"/>
      <c r="AK91" s="37"/>
      <c r="AL91" s="72"/>
      <c r="AM91" s="72"/>
      <c r="AN91" s="72"/>
      <c r="AO91" s="72"/>
      <c r="AP91" s="72"/>
      <c r="AQ91" s="72"/>
      <c r="AR91" s="72"/>
      <c r="AS91" s="72"/>
      <c r="AT91" s="62"/>
      <c r="AU91" s="72"/>
    </row>
    <row r="92" spans="1:47">
      <c r="A92" s="165">
        <f>_xlfn.XLOOKUP(B92,'Global sales'!$K$3:$K$30,'Global sales'!$L$3:$L$30,0)</f>
        <v>20</v>
      </c>
      <c r="B92" s="171" t="s">
        <v>79</v>
      </c>
      <c r="C92" s="159">
        <f>_xlfn.XLOOKUP(B92,'ZEV eq sales share'!B:B,'ZEV eq sales share'!M:M)</f>
        <v>8.1493666204389061</v>
      </c>
      <c r="D92" s="159">
        <f>_xlfn.XLOOKUP(B92,'ZEV class coverage'!$Q$5:$Q$25,'ZEV class coverage'!$S$5:$S$25)*100</f>
        <v>18.587500000000002</v>
      </c>
      <c r="E92" s="158">
        <f>_xlfn.XLOOKUP(B92,'Energy consumption'!B:B,'Energy consumption'!L:L)</f>
        <v>113.74460000000001</v>
      </c>
      <c r="F92" s="158">
        <f>_xlfn.XLOOKUP(B92,'Charging speed'!B:B,'Charging speed'!H:H)</f>
        <v>25.9039</v>
      </c>
      <c r="G92" s="158">
        <f>_xlfn.XLOOKUP(B92,'Driving range'!B:B,'Driving range'!L:L)</f>
        <v>334</v>
      </c>
      <c r="H92" s="158">
        <f>_xlfn.XLOOKUP(B92,'Renewable energy'!$A$4:$A$33,'Renewable energy'!$P$4:$P$33)</f>
        <v>6.7587294254509542</v>
      </c>
      <c r="I92" s="158">
        <f>_xlfn.XLOOKUP(B92,'Battery recycle repurpose'!$A$2:$A$22,'Battery recycle repurpose'!$K$2:$K$22)</f>
        <v>80.723023389127718</v>
      </c>
      <c r="J92" s="423">
        <f>IFERROR(_xlfn.XLOOKUP(B92,'ZEV target'!$A$2:$A$46,'ZEV target'!$K$2:$K$46),0)</f>
        <v>0.61122782970279055</v>
      </c>
      <c r="K92" s="159">
        <f>_xlfn.XLOOKUP(B92,'ZEV investment'!$A$3:$A$23,'ZEV investment'!$H$3:$H$23)</f>
        <v>756.35582077007814</v>
      </c>
      <c r="L92" s="158">
        <f>_xlfn.XLOOKUP(B92,'Executive compensation'!$A$2:$A$22,'Executive compensation'!$K$2:$K$22)</f>
        <v>1.0980762979625271</v>
      </c>
      <c r="M92" s="32"/>
      <c r="N92" s="112"/>
      <c r="AJ92" s="37"/>
      <c r="AK92" s="37"/>
      <c r="AL92" s="72"/>
      <c r="AM92" s="72"/>
      <c r="AN92" s="72"/>
      <c r="AO92" s="72"/>
      <c r="AP92" s="72"/>
      <c r="AQ92" s="72"/>
      <c r="AR92" s="72"/>
      <c r="AS92" s="72"/>
      <c r="AT92" s="62"/>
      <c r="AU92" s="72"/>
    </row>
    <row r="93" spans="1:47">
      <c r="A93" s="165">
        <f>_xlfn.XLOOKUP(B93,'Global sales'!$K$3:$K$30,'Global sales'!$L$3:$L$30,0)</f>
        <v>17</v>
      </c>
      <c r="B93" s="171" t="s">
        <v>81</v>
      </c>
      <c r="C93" s="159">
        <f>_xlfn.XLOOKUP(B93,'ZEV eq sales share'!B:B,'ZEV eq sales share'!M:M)</f>
        <v>17.018979831526519</v>
      </c>
      <c r="D93" s="159">
        <f>_xlfn.XLOOKUP(B93,'ZEV class coverage'!$Q$5:$Q$25,'ZEV class coverage'!$S$5:$S$25)*100</f>
        <v>37.325000000000003</v>
      </c>
      <c r="E93" s="158">
        <f>_xlfn.XLOOKUP(B93,'Energy consumption'!B:B,'Energy consumption'!L:L)</f>
        <v>143.9691</v>
      </c>
      <c r="F93" s="158">
        <f>_xlfn.XLOOKUP(B93,'Charging speed'!B:B,'Charging speed'!H:H)</f>
        <v>45.955399999999997</v>
      </c>
      <c r="G93" s="158">
        <f>_xlfn.XLOOKUP(B93,'Driving range'!B:B,'Driving range'!L:L)</f>
        <v>373</v>
      </c>
      <c r="H93" s="158">
        <f>_xlfn.XLOOKUP(B93,'Renewable energy'!$A$4:$A$33,'Renewable energy'!$P$4:$P$33)</f>
        <v>0</v>
      </c>
      <c r="I93" s="158">
        <f>_xlfn.XLOOKUP(B93,'Battery recycle repurpose'!$A$2:$A$22,'Battery recycle repurpose'!$K$2:$K$22)</f>
        <v>99.843767845005289</v>
      </c>
      <c r="J93" s="423">
        <f>IFERROR(_xlfn.XLOOKUP(B93,'ZEV target'!$A$2:$A$46,'ZEV target'!$K$2:$K$46),0)</f>
        <v>0.76585042226033295</v>
      </c>
      <c r="K93" s="159">
        <f>_xlfn.XLOOKUP(B93,'ZEV investment'!$A$3:$A$23,'ZEV investment'!$H$3:$H$23)</f>
        <v>122.75691650095827</v>
      </c>
      <c r="L93" s="158">
        <f>_xlfn.XLOOKUP(B93,'Executive compensation'!$A$2:$A$22,'Executive compensation'!$K$2:$K$22)</f>
        <v>0</v>
      </c>
      <c r="M93" s="32"/>
      <c r="N93" s="112"/>
      <c r="AJ93" s="37"/>
      <c r="AK93" s="37"/>
      <c r="AL93" s="72"/>
      <c r="AM93" s="72"/>
      <c r="AN93" s="72"/>
      <c r="AO93" s="72"/>
      <c r="AP93" s="72"/>
      <c r="AQ93" s="72"/>
      <c r="AR93" s="72"/>
      <c r="AS93" s="72"/>
      <c r="AT93" s="62"/>
      <c r="AU93" s="72"/>
    </row>
    <row r="94" spans="1:47">
      <c r="A94" s="165">
        <f>_xlfn.XLOOKUP(B94,'Global sales'!$K$3:$K$30,'Global sales'!$L$3:$L$30,0)</f>
        <v>28</v>
      </c>
      <c r="B94" s="171" t="s">
        <v>97</v>
      </c>
      <c r="C94" s="159">
        <f>_xlfn.XLOOKUP(B94,'ZEV eq sales share'!B:B,'ZEV eq sales share'!M:M)</f>
        <v>2.1899567490179606</v>
      </c>
      <c r="D94" s="159">
        <f>_xlfn.XLOOKUP(B94,'ZEV class coverage'!$Q$5:$Q$25,'ZEV class coverage'!$S$5:$S$25)*100</f>
        <v>2.8125</v>
      </c>
      <c r="E94" s="158">
        <f>_xlfn.XLOOKUP(B94,'Energy consumption'!B:B,'Energy consumption'!L:L)</f>
        <v>169.2483</v>
      </c>
      <c r="F94" s="158">
        <f>_xlfn.XLOOKUP(B94,'Charging speed'!B:B,'Charging speed'!H:H)</f>
        <v>46.964599999999997</v>
      </c>
      <c r="G94" s="158">
        <f>_xlfn.XLOOKUP(B94,'Driving range'!B:B,'Driving range'!L:L)</f>
        <v>203.37799999999999</v>
      </c>
      <c r="H94" s="158">
        <f>_xlfn.XLOOKUP(B94,'Renewable energy'!$A$4:$A$33,'Renewable energy'!$P$4:$P$33)</f>
        <v>0</v>
      </c>
      <c r="I94" s="158">
        <f>_xlfn.XLOOKUP(B94,'Battery recycle repurpose'!$A$2:$A$22,'Battery recycle repurpose'!$K$2:$K$22)</f>
        <v>0</v>
      </c>
      <c r="J94" s="423">
        <f>IFERROR(_xlfn.XLOOKUP(B94,'ZEV target'!$A$2:$A$46,'ZEV target'!$K$2:$K$46),0)</f>
        <v>0.32467532467532467</v>
      </c>
      <c r="K94" s="159">
        <f>_xlfn.XLOOKUP(B94,'ZEV investment'!$A$3:$A$23,'ZEV investment'!$H$3:$H$23)</f>
        <v>558.6449342119364</v>
      </c>
      <c r="L94" s="158">
        <f>_xlfn.XLOOKUP(B94,'Executive compensation'!$A$2:$A$22,'Executive compensation'!$K$2:$K$22)</f>
        <v>0</v>
      </c>
      <c r="M94" s="32"/>
      <c r="N94" s="112"/>
      <c r="AJ94" s="37"/>
      <c r="AK94" s="37"/>
      <c r="AL94" s="72"/>
      <c r="AM94" s="72"/>
      <c r="AN94" s="72"/>
      <c r="AO94" s="72"/>
      <c r="AP94" s="72"/>
      <c r="AQ94" s="72"/>
      <c r="AR94" s="72"/>
      <c r="AS94" s="72"/>
      <c r="AT94" s="62"/>
      <c r="AU94" s="72"/>
    </row>
    <row r="95" spans="1:47">
      <c r="A95" s="165">
        <f>_xlfn.XLOOKUP(B95,'Global sales'!$K$3:$K$30,'Global sales'!$L$3:$L$30,0)</f>
        <v>16</v>
      </c>
      <c r="B95" s="171" t="s">
        <v>90</v>
      </c>
      <c r="C95" s="158">
        <f>_xlfn.XLOOKUP(B95,'ZEV eq sales share'!B:B,'ZEV eq sales share'!M:M)</f>
        <v>17.431697249919381</v>
      </c>
      <c r="D95" s="159">
        <f>_xlfn.XLOOKUP(B95,'ZEV class coverage'!$Q$5:$Q$25,'ZEV class coverage'!$S$5:$S$25)*100</f>
        <v>62.4375</v>
      </c>
      <c r="E95" s="158">
        <f>_xlfn.XLOOKUP(B95,'Energy consumption'!B:B,'Energy consumption'!L:L)</f>
        <v>143.7313</v>
      </c>
      <c r="F95" s="158">
        <f>_xlfn.XLOOKUP(B95,'Charging speed'!B:B,'Charging speed'!H:H)</f>
        <v>23.8172</v>
      </c>
      <c r="G95" s="158">
        <f>_xlfn.XLOOKUP(B95,'Driving range'!B:B,'Driving range'!L:L)</f>
        <v>209</v>
      </c>
      <c r="H95" s="158">
        <f>_xlfn.XLOOKUP(B95,'Renewable energy'!$A$4:$A$33,'Renewable energy'!$P$4:$P$33)</f>
        <v>0</v>
      </c>
      <c r="I95" s="158">
        <f>_xlfn.XLOOKUP(B95,'Battery recycle repurpose'!$A$2:$A$22,'Battery recycle repurpose'!$K$2:$K$22)</f>
        <v>100</v>
      </c>
      <c r="J95" s="423">
        <f>IFERROR(_xlfn.XLOOKUP(B95,'ZEV target'!$A$2:$A$46,'ZEV target'!$K$2:$K$46),0)</f>
        <v>0.49739344092577048</v>
      </c>
      <c r="K95" s="159">
        <f>_xlfn.XLOOKUP(B95,'ZEV investment'!$A$3:$A$23,'ZEV investment'!$H$3:$H$23)</f>
        <v>656.96846414183346</v>
      </c>
      <c r="L95" s="158">
        <f>_xlfn.XLOOKUP(B95,'Executive compensation'!$A$2:$A$22,'Executive compensation'!$K$2:$K$22)</f>
        <v>0</v>
      </c>
      <c r="M95" s="32"/>
      <c r="N95" s="112"/>
      <c r="AJ95" s="37"/>
      <c r="AK95" s="37"/>
      <c r="AL95" s="72"/>
      <c r="AM95" s="72"/>
      <c r="AN95" s="72"/>
      <c r="AO95" s="72"/>
      <c r="AP95" s="72"/>
      <c r="AQ95" s="72"/>
      <c r="AR95" s="72"/>
      <c r="AS95" s="72"/>
      <c r="AT95" s="62"/>
      <c r="AU95" s="72"/>
    </row>
    <row r="96" spans="1:47">
      <c r="A96" s="477" t="s">
        <v>117</v>
      </c>
      <c r="B96" s="141" t="s">
        <v>118</v>
      </c>
      <c r="C96" s="161">
        <f>IF(C107="Y",C103,C100)</f>
        <v>100</v>
      </c>
      <c r="D96" s="161">
        <f>IF(D107="Y",D103,D100)</f>
        <v>80.375</v>
      </c>
      <c r="E96" s="161">
        <f t="shared" ref="E96:L96" si="113">IF(E107="Y",E103,E100)</f>
        <v>169.2483</v>
      </c>
      <c r="F96" s="161">
        <f t="shared" si="113"/>
        <v>172</v>
      </c>
      <c r="G96" s="161">
        <f t="shared" si="113"/>
        <v>527.46299999999997</v>
      </c>
      <c r="H96" s="161">
        <f t="shared" si="113"/>
        <v>100</v>
      </c>
      <c r="I96" s="161">
        <f>IF(I107="Y",I103,I100)</f>
        <v>100</v>
      </c>
      <c r="J96" s="264">
        <f>IF(J107="Y",J103,J100)</f>
        <v>0.86278723289147108</v>
      </c>
      <c r="K96" s="161">
        <f>IF(K107="Y",K103,K100)</f>
        <v>3740.0293468068444</v>
      </c>
      <c r="L96" s="161">
        <f t="shared" si="113"/>
        <v>26.590884934370575</v>
      </c>
      <c r="M96" s="11"/>
      <c r="AJ96" s="37"/>
      <c r="AK96" s="37"/>
      <c r="AL96" s="72"/>
      <c r="AM96" s="72"/>
      <c r="AN96" s="72"/>
      <c r="AO96" s="72"/>
      <c r="AP96" s="72"/>
      <c r="AQ96" s="72"/>
      <c r="AR96" s="72"/>
      <c r="AS96" s="72"/>
      <c r="AT96" s="72"/>
    </row>
    <row r="97" spans="1:47">
      <c r="A97" s="477"/>
      <c r="B97" s="141" t="s">
        <v>119</v>
      </c>
      <c r="C97" s="161">
        <f>C101</f>
        <v>3.3447527695219798E-4</v>
      </c>
      <c r="D97" s="161">
        <f t="shared" ref="D97:L97" si="114">D101</f>
        <v>0</v>
      </c>
      <c r="E97" s="161">
        <f t="shared" si="114"/>
        <v>113.74460000000001</v>
      </c>
      <c r="F97" s="161">
        <f t="shared" si="114"/>
        <v>18</v>
      </c>
      <c r="G97" s="161">
        <f t="shared" si="114"/>
        <v>196</v>
      </c>
      <c r="H97" s="161">
        <f t="shared" si="114"/>
        <v>0</v>
      </c>
      <c r="I97" s="161">
        <f t="shared" si="114"/>
        <v>0</v>
      </c>
      <c r="J97" s="264">
        <f>J101</f>
        <v>0</v>
      </c>
      <c r="K97" s="161">
        <f>K101</f>
        <v>11.911318814075445</v>
      </c>
      <c r="L97" s="161">
        <f t="shared" si="114"/>
        <v>0</v>
      </c>
      <c r="M97" s="11"/>
      <c r="AJ97" s="37"/>
      <c r="AK97" s="37"/>
      <c r="AL97" s="72"/>
      <c r="AM97" s="72"/>
      <c r="AN97" s="72"/>
      <c r="AO97" s="72"/>
      <c r="AP97" s="72"/>
      <c r="AQ97" s="72"/>
      <c r="AR97" s="72"/>
      <c r="AS97" s="72"/>
      <c r="AT97" s="62"/>
      <c r="AU97" s="72"/>
    </row>
    <row r="98" spans="1:47">
      <c r="A98" s="410"/>
      <c r="B98" s="12"/>
      <c r="C98" s="161"/>
      <c r="D98" s="161"/>
      <c r="E98" s="161"/>
      <c r="F98" s="161"/>
      <c r="G98" s="161"/>
      <c r="H98" s="161"/>
      <c r="I98" s="161"/>
      <c r="J98" s="264"/>
      <c r="K98" s="161"/>
      <c r="L98" s="161"/>
      <c r="M98" s="120"/>
      <c r="AJ98" s="37"/>
      <c r="AK98" s="37"/>
      <c r="AL98" s="72"/>
      <c r="AM98" s="72"/>
      <c r="AN98" s="72"/>
      <c r="AO98" s="72"/>
      <c r="AP98" s="72"/>
      <c r="AQ98" s="72"/>
      <c r="AR98" s="72"/>
      <c r="AS98" s="72"/>
      <c r="AT98" s="62"/>
      <c r="AU98" s="72"/>
    </row>
    <row r="99" spans="1:47">
      <c r="A99" s="410"/>
      <c r="B99" s="12"/>
      <c r="C99" s="161"/>
      <c r="D99" s="161"/>
      <c r="E99" s="161"/>
      <c r="F99" s="161"/>
      <c r="G99" s="161"/>
      <c r="H99" s="161"/>
      <c r="I99" s="161"/>
      <c r="J99" s="264"/>
      <c r="K99" s="161"/>
      <c r="L99" s="161"/>
      <c r="M99" s="11"/>
      <c r="AJ99" s="37"/>
      <c r="AK99" s="37"/>
      <c r="AL99" s="72"/>
      <c r="AM99" s="72"/>
      <c r="AN99" s="72"/>
      <c r="AO99" s="72"/>
      <c r="AP99" s="72"/>
      <c r="AQ99" s="72"/>
      <c r="AR99" s="72"/>
      <c r="AS99" s="72"/>
      <c r="AT99" s="62"/>
      <c r="AU99" s="72"/>
    </row>
    <row r="100" spans="1:47">
      <c r="A100" s="411"/>
      <c r="B100" s="12" t="s">
        <v>118</v>
      </c>
      <c r="C100" s="161">
        <f>MAX(C103,C105)</f>
        <v>100</v>
      </c>
      <c r="D100" s="161">
        <f>MAX(D103,D105)</f>
        <v>100</v>
      </c>
      <c r="E100" s="161">
        <f t="shared" ref="E100:L100" si="115">MAX(E103,E105)</f>
        <v>169.2483</v>
      </c>
      <c r="F100" s="161">
        <f>MAX(F103,F105)</f>
        <v>172</v>
      </c>
      <c r="G100" s="161">
        <f>MAX(G103,G105)</f>
        <v>527.46299999999997</v>
      </c>
      <c r="H100" s="161">
        <f t="shared" si="115"/>
        <v>100</v>
      </c>
      <c r="I100" s="161">
        <f t="shared" si="115"/>
        <v>100</v>
      </c>
      <c r="J100" s="264">
        <f>MAX(J103,J105)</f>
        <v>0.94760953433856132</v>
      </c>
      <c r="K100" s="161">
        <f>MAX(K103,K105)</f>
        <v>3740.0293468068444</v>
      </c>
      <c r="L100" s="161">
        <f t="shared" si="115"/>
        <v>26.590884934370575</v>
      </c>
      <c r="M100" s="11"/>
      <c r="AJ100" s="37"/>
      <c r="AK100" s="37"/>
      <c r="AL100" s="72"/>
      <c r="AM100" s="72"/>
      <c r="AN100" s="72"/>
      <c r="AO100" s="72"/>
      <c r="AP100" s="72"/>
      <c r="AQ100" s="72"/>
      <c r="AR100" s="72"/>
      <c r="AS100" s="72"/>
      <c r="AT100" s="62"/>
      <c r="AU100" s="72"/>
    </row>
    <row r="101" spans="1:47">
      <c r="A101" s="411"/>
      <c r="B101" s="12" t="s">
        <v>119</v>
      </c>
      <c r="C101" s="161">
        <f>MIN(C104,C106)</f>
        <v>3.3447527695219798E-4</v>
      </c>
      <c r="D101" s="161">
        <f t="shared" ref="D101:L101" si="116">MIN(D104,D106)</f>
        <v>0</v>
      </c>
      <c r="E101" s="161">
        <f t="shared" si="116"/>
        <v>113.74460000000001</v>
      </c>
      <c r="F101" s="161">
        <f t="shared" si="116"/>
        <v>18</v>
      </c>
      <c r="G101" s="161">
        <f t="shared" si="116"/>
        <v>196</v>
      </c>
      <c r="H101" s="161">
        <f t="shared" si="116"/>
        <v>0</v>
      </c>
      <c r="I101" s="161">
        <f t="shared" si="116"/>
        <v>0</v>
      </c>
      <c r="J101" s="264">
        <f>MIN(J104,J106)</f>
        <v>0</v>
      </c>
      <c r="K101" s="161">
        <f>MIN(K104,K106)</f>
        <v>11.911318814075445</v>
      </c>
      <c r="L101" s="161">
        <f t="shared" si="116"/>
        <v>0</v>
      </c>
      <c r="AJ101" s="37"/>
      <c r="AK101" s="37"/>
      <c r="AT101" s="37"/>
      <c r="AU101" s="72"/>
    </row>
    <row r="102" spans="1:47">
      <c r="A102" s="411"/>
      <c r="B102" s="12"/>
      <c r="C102" s="161"/>
      <c r="D102" s="161"/>
      <c r="E102" s="161"/>
      <c r="F102" s="161"/>
      <c r="G102" s="161"/>
      <c r="H102" s="161"/>
      <c r="I102" s="161"/>
      <c r="J102" s="264"/>
      <c r="K102" s="161"/>
      <c r="L102" s="161"/>
      <c r="AJ102" s="37"/>
      <c r="AK102" s="37"/>
      <c r="AT102" s="37"/>
      <c r="AU102" s="72"/>
    </row>
    <row r="103" spans="1:47">
      <c r="A103" s="409">
        <v>2023</v>
      </c>
      <c r="B103" s="12" t="s">
        <v>118</v>
      </c>
      <c r="C103" s="161">
        <f t="shared" ref="C103:L103" si="117">MAX(C75:C95)</f>
        <v>100</v>
      </c>
      <c r="D103" s="161">
        <f>MAX(D75:D95)</f>
        <v>80.375</v>
      </c>
      <c r="E103" s="161">
        <f t="shared" si="117"/>
        <v>169.2483</v>
      </c>
      <c r="F103" s="161">
        <f t="shared" si="117"/>
        <v>172</v>
      </c>
      <c r="G103" s="161">
        <f>MAX(G75:G95)</f>
        <v>527.46299999999997</v>
      </c>
      <c r="H103" s="161">
        <f t="shared" si="117"/>
        <v>100</v>
      </c>
      <c r="I103" s="161">
        <f t="shared" si="117"/>
        <v>100</v>
      </c>
      <c r="J103" s="264">
        <f>MAX(J75:J95)</f>
        <v>0.86278723289147108</v>
      </c>
      <c r="K103" s="162">
        <f t="shared" si="117"/>
        <v>3740.0293468068444</v>
      </c>
      <c r="L103" s="161">
        <f t="shared" si="117"/>
        <v>26.590884934370575</v>
      </c>
      <c r="AT103" s="37"/>
      <c r="AU103" s="72"/>
    </row>
    <row r="104" spans="1:47">
      <c r="A104" s="411"/>
      <c r="B104" s="12" t="s">
        <v>119</v>
      </c>
      <c r="C104" s="161">
        <f t="shared" ref="C104:L104" si="118">MIN(C75:C95)</f>
        <v>3.3601875969840794E-2</v>
      </c>
      <c r="D104" s="161">
        <f t="shared" si="118"/>
        <v>0</v>
      </c>
      <c r="E104" s="161">
        <f t="shared" si="118"/>
        <v>113.74460000000001</v>
      </c>
      <c r="F104" s="161">
        <f t="shared" si="118"/>
        <v>23.8172</v>
      </c>
      <c r="G104" s="161">
        <f>MIN(G75:G95)</f>
        <v>203.37799999999999</v>
      </c>
      <c r="H104" s="161">
        <f t="shared" si="118"/>
        <v>0</v>
      </c>
      <c r="I104" s="161">
        <f t="shared" si="118"/>
        <v>0</v>
      </c>
      <c r="J104" s="264">
        <f>MIN(J75:J95)</f>
        <v>0</v>
      </c>
      <c r="K104" s="162">
        <f>MIN(K75:K95)</f>
        <v>122.75691650095827</v>
      </c>
      <c r="L104" s="161">
        <f t="shared" si="118"/>
        <v>0</v>
      </c>
      <c r="AU104" s="72"/>
    </row>
    <row r="105" spans="1:47">
      <c r="A105" s="409">
        <v>2022</v>
      </c>
      <c r="B105" s="12" t="s">
        <v>118</v>
      </c>
      <c r="C105" s="161">
        <f>'GAR 2022 score'!C24*100</f>
        <v>100</v>
      </c>
      <c r="D105" s="161">
        <f>'GAR 2022 score'!D24*100</f>
        <v>100</v>
      </c>
      <c r="E105" s="161">
        <v>169</v>
      </c>
      <c r="F105" s="161">
        <f>'GAR 2022 score'!F24</f>
        <v>172</v>
      </c>
      <c r="G105" s="161">
        <f>'GAR 2022 score'!G24</f>
        <v>503</v>
      </c>
      <c r="H105" s="161">
        <f>'GAR 2022 score'!H24</f>
        <v>100</v>
      </c>
      <c r="I105" s="161">
        <f>'GAR 2022 score'!I24</f>
        <v>100</v>
      </c>
      <c r="J105" s="264">
        <v>0.94760953433856132</v>
      </c>
      <c r="K105" s="162">
        <v>2394</v>
      </c>
      <c r="L105" s="161">
        <f>'GAR 2022 score'!L24</f>
        <v>18.695652173913047</v>
      </c>
      <c r="AU105" s="72"/>
    </row>
    <row r="106" spans="1:47">
      <c r="A106" s="80"/>
      <c r="B106" s="12" t="s">
        <v>119</v>
      </c>
      <c r="C106" s="161">
        <f>'GAR 2022 score'!C25</f>
        <v>3.3447527695219798E-4</v>
      </c>
      <c r="D106" s="161">
        <f>'GAR 2022 score'!D25</f>
        <v>0</v>
      </c>
      <c r="E106" s="161">
        <v>126</v>
      </c>
      <c r="F106" s="161">
        <f>'GAR 2022 score'!F25</f>
        <v>18</v>
      </c>
      <c r="G106" s="161">
        <f>'GAR 2022 score'!G25</f>
        <v>196</v>
      </c>
      <c r="H106" s="161">
        <f>'GAR 2022 score'!H25</f>
        <v>0</v>
      </c>
      <c r="I106" s="161">
        <f>'GAR 2022 score'!I25</f>
        <v>0</v>
      </c>
      <c r="J106" s="264">
        <v>0</v>
      </c>
      <c r="K106" s="161">
        <v>11.911318814075445</v>
      </c>
      <c r="L106" s="161">
        <f>'GAR 2022 score'!L25</f>
        <v>0</v>
      </c>
      <c r="AU106" s="72"/>
    </row>
    <row r="107" spans="1:47">
      <c r="A107" s="80"/>
      <c r="B107" s="8" t="s">
        <v>120</v>
      </c>
      <c r="C107" s="160" t="s">
        <v>121</v>
      </c>
      <c r="D107" s="160" t="s">
        <v>122</v>
      </c>
      <c r="E107" s="160" t="s">
        <v>121</v>
      </c>
      <c r="F107" s="160" t="s">
        <v>121</v>
      </c>
      <c r="G107" s="160" t="s">
        <v>121</v>
      </c>
      <c r="H107" s="160" t="s">
        <v>121</v>
      </c>
      <c r="I107" s="160" t="s">
        <v>121</v>
      </c>
      <c r="J107" s="264" t="s">
        <v>122</v>
      </c>
      <c r="K107" s="160" t="s">
        <v>122</v>
      </c>
      <c r="L107" s="160" t="s">
        <v>122</v>
      </c>
    </row>
    <row r="108" spans="1:47">
      <c r="B108" s="10"/>
    </row>
    <row r="109" spans="1:47" ht="17" thickBot="1"/>
    <row r="110" spans="1:47">
      <c r="B110" s="412" t="s">
        <v>3</v>
      </c>
      <c r="C110" s="370"/>
      <c r="D110" s="370"/>
      <c r="E110" s="370"/>
      <c r="F110" s="370"/>
      <c r="G110" s="370"/>
      <c r="H110" s="370"/>
      <c r="I110" s="61"/>
    </row>
    <row r="111" spans="1:47">
      <c r="B111" s="24" t="s">
        <v>118</v>
      </c>
      <c r="C111" s="8" t="s">
        <v>123</v>
      </c>
      <c r="I111" s="28"/>
    </row>
    <row r="112" spans="1:47">
      <c r="B112" s="24" t="s">
        <v>119</v>
      </c>
      <c r="C112" s="8" t="s">
        <v>124</v>
      </c>
      <c r="I112" s="28"/>
    </row>
    <row r="113" spans="2:9">
      <c r="B113" s="24" t="s">
        <v>578</v>
      </c>
      <c r="I113" s="28"/>
    </row>
    <row r="114" spans="2:9" ht="17" thickBot="1">
      <c r="B114" s="56" t="s">
        <v>125</v>
      </c>
      <c r="C114" s="371"/>
      <c r="D114" s="371"/>
      <c r="E114" s="371"/>
      <c r="F114" s="371"/>
      <c r="G114" s="371"/>
      <c r="H114" s="371"/>
      <c r="I114" s="57"/>
    </row>
  </sheetData>
  <sheetProtection algorithmName="SHA-512" hashValue="Bxvic56GlbusoHN6CZvBGlEmpN4twXmt6ZHru2yTZg2kLqK25bZu3f+nXiEri5y27es0y5Vv85dS6RTARNgZpA==" saltValue="b5NOIDuNq58EJJ69XTbJCA==" spinCount="100000" sheet="1" objects="1" scenarios="1" selectLockedCells="1" selectUnlockedCells="1"/>
  <sortState xmlns:xlrd2="http://schemas.microsoft.com/office/spreadsheetml/2017/richdata2" ref="I3:L23">
    <sortCondition descending="1" ref="L3:L23"/>
  </sortState>
  <mergeCells count="53">
    <mergeCell ref="BB2:BD2"/>
    <mergeCell ref="AP2:AR2"/>
    <mergeCell ref="AM1:BA1"/>
    <mergeCell ref="AS2:AU2"/>
    <mergeCell ref="AV2:AX2"/>
    <mergeCell ref="AY2:BA2"/>
    <mergeCell ref="B1:B2"/>
    <mergeCell ref="C1:C2"/>
    <mergeCell ref="D1:D2"/>
    <mergeCell ref="E1:E2"/>
    <mergeCell ref="F1:G2"/>
    <mergeCell ref="A96:A97"/>
    <mergeCell ref="AC3:AC4"/>
    <mergeCell ref="AC5:AC17"/>
    <mergeCell ref="AC18:AC23"/>
    <mergeCell ref="EI16:EI22"/>
    <mergeCell ref="DQ5:DQ13"/>
    <mergeCell ref="DQ14:DQ22"/>
    <mergeCell ref="EA5:EA16"/>
    <mergeCell ref="EA17:EA22"/>
    <mergeCell ref="G17:G23"/>
    <mergeCell ref="G5:G16"/>
    <mergeCell ref="G3:G4"/>
    <mergeCell ref="L3:L4"/>
    <mergeCell ref="L5:L17"/>
    <mergeCell ref="L18:L23"/>
    <mergeCell ref="EA3:EA4"/>
    <mergeCell ref="ED1:ED2"/>
    <mergeCell ref="EE1:EI1"/>
    <mergeCell ref="EH2:EI2"/>
    <mergeCell ref="EI5:EI15"/>
    <mergeCell ref="EI3:EI4"/>
    <mergeCell ref="DQ3:DQ4"/>
    <mergeCell ref="DU1:EA1"/>
    <mergeCell ref="DN1:DQ1"/>
    <mergeCell ref="DT1:DT2"/>
    <mergeCell ref="DP2:DQ2"/>
    <mergeCell ref="J1:J2"/>
    <mergeCell ref="K1:L2"/>
    <mergeCell ref="AG1:AL1"/>
    <mergeCell ref="DZ2:EA2"/>
    <mergeCell ref="DM1:DM2"/>
    <mergeCell ref="M1:O1"/>
    <mergeCell ref="V1:Y1"/>
    <mergeCell ref="P1:U1"/>
    <mergeCell ref="AB1:AB2"/>
    <mergeCell ref="AC1:AF2"/>
    <mergeCell ref="AG2:AI2"/>
    <mergeCell ref="AJ2:AL2"/>
    <mergeCell ref="AM2:AO2"/>
    <mergeCell ref="BB1:BJ1"/>
    <mergeCell ref="BE2:BG2"/>
    <mergeCell ref="BH2:BJ2"/>
  </mergeCells>
  <phoneticPr fontId="2" type="noConversion"/>
  <conditionalFormatting sqref="C3:C23">
    <cfRule type="expression" dxfId="112" priority="401" stopIfTrue="1">
      <formula>$C3&gt;66.67</formula>
    </cfRule>
    <cfRule type="expression" dxfId="111" priority="400">
      <formula>$C3&lt;33.3</formula>
    </cfRule>
    <cfRule type="expression" dxfId="110" priority="402">
      <formula>$C3&gt;33.3</formula>
    </cfRule>
  </conditionalFormatting>
  <conditionalFormatting sqref="C27:F48">
    <cfRule type="colorScale" priority="372">
      <colorScale>
        <cfvo type="min"/>
        <cfvo type="percentile" val="50"/>
        <cfvo type="max"/>
        <color rgb="FFF8696B"/>
        <color rgb="FFFFEB84"/>
        <color rgb="FF63BE7B"/>
      </colorScale>
    </cfRule>
    <cfRule type="colorScale" priority="370">
      <colorScale>
        <cfvo type="min"/>
        <cfvo type="percentile" val="50"/>
        <cfvo type="max"/>
        <color theme="6" tint="0.39997558519241921"/>
        <color theme="9" tint="0.39997558519241921"/>
        <color theme="8" tint="0.39997558519241921"/>
      </colorScale>
    </cfRule>
    <cfRule type="colorScale" priority="371">
      <colorScale>
        <cfvo type="min"/>
        <cfvo type="max"/>
        <color theme="6" tint="0.39997558519241921"/>
        <color theme="8" tint="0.39997558519241921"/>
      </colorScale>
    </cfRule>
  </conditionalFormatting>
  <conditionalFormatting sqref="C100:L100">
    <cfRule type="expression" dxfId="109" priority="236" stopIfTrue="1">
      <formula>(C$103&lt;C$105)</formula>
    </cfRule>
  </conditionalFormatting>
  <conditionalFormatting sqref="C101:L101">
    <cfRule type="expression" dxfId="108" priority="234" stopIfTrue="1">
      <formula>C$104&gt;C$106</formula>
    </cfRule>
  </conditionalFormatting>
  <conditionalFormatting sqref="D3:D23">
    <cfRule type="expression" dxfId="107" priority="403">
      <formula>$D3&lt;33.3</formula>
    </cfRule>
    <cfRule type="expression" dxfId="106" priority="405" stopIfTrue="1">
      <formula>$D3&gt;33.3</formula>
    </cfRule>
    <cfRule type="expression" dxfId="105" priority="404">
      <formula>$D3&gt;66.67</formula>
    </cfRule>
  </conditionalFormatting>
  <conditionalFormatting sqref="E3:E23">
    <cfRule type="expression" dxfId="104" priority="406">
      <formula>$E3&lt;33.3</formula>
    </cfRule>
    <cfRule type="expression" dxfId="103" priority="408">
      <formula>$E3&gt;33.3</formula>
    </cfRule>
    <cfRule type="expression" dxfId="102" priority="407">
      <formula>$E3&gt;66.67</formula>
    </cfRule>
  </conditionalFormatting>
  <conditionalFormatting sqref="F3:F23">
    <cfRule type="expression" dxfId="101" priority="411" stopIfTrue="1">
      <formula>$F3&gt;33.3</formula>
    </cfRule>
    <cfRule type="expression" dxfId="100" priority="409" stopIfTrue="1">
      <formula>$F3&lt;33.3</formula>
    </cfRule>
    <cfRule type="expression" dxfId="99" priority="410">
      <formula>$F3&gt;66.67</formula>
    </cfRule>
  </conditionalFormatting>
  <conditionalFormatting sqref="K3:K23">
    <cfRule type="expression" dxfId="98" priority="313">
      <formula>K3&lt;33.3</formula>
    </cfRule>
    <cfRule type="expression" dxfId="97" priority="314" stopIfTrue="1">
      <formula>K3&gt;66.67</formula>
    </cfRule>
    <cfRule type="expression" dxfId="96" priority="315">
      <formula>K3&gt;33.3</formula>
    </cfRule>
  </conditionalFormatting>
  <conditionalFormatting sqref="O3:O23">
    <cfRule type="expression" dxfId="95" priority="307" stopIfTrue="1">
      <formula>O3&lt;33.3</formula>
    </cfRule>
    <cfRule type="expression" dxfId="94" priority="308" stopIfTrue="1">
      <formula>O3&gt;66.67</formula>
    </cfRule>
    <cfRule type="expression" dxfId="93" priority="309">
      <formula>O3&gt;33.3</formula>
    </cfRule>
  </conditionalFormatting>
  <conditionalFormatting sqref="U3:U23">
    <cfRule type="expression" dxfId="92" priority="312" stopIfTrue="1">
      <formula>U3&gt;33.3</formula>
    </cfRule>
    <cfRule type="expression" dxfId="91" priority="311">
      <formula>U3&gt;66.67</formula>
    </cfRule>
    <cfRule type="expression" dxfId="90" priority="310">
      <formula>U3&lt;33.3</formula>
    </cfRule>
  </conditionalFormatting>
  <conditionalFormatting sqref="Y3:Y23">
    <cfRule type="expression" dxfId="89" priority="318" stopIfTrue="1">
      <formula>Y3&gt;33.3</formula>
    </cfRule>
    <cfRule type="expression" dxfId="88" priority="316" stopIfTrue="1">
      <formula>Y3&lt;33.3</formula>
    </cfRule>
    <cfRule type="expression" dxfId="87" priority="317" stopIfTrue="1">
      <formula>Y3&gt;66.67</formula>
    </cfRule>
  </conditionalFormatting>
  <conditionalFormatting sqref="AD3:AD23">
    <cfRule type="expression" dxfId="86" priority="231">
      <formula>AD3&lt;33.3</formula>
    </cfRule>
    <cfRule type="expression" dxfId="85" priority="233">
      <formula>AD3&gt;33.3</formula>
    </cfRule>
    <cfRule type="expression" dxfId="84" priority="232" stopIfTrue="1">
      <formula>AD3&gt;66.67</formula>
    </cfRule>
  </conditionalFormatting>
  <conditionalFormatting sqref="AE3:AE23">
    <cfRule type="expression" dxfId="83" priority="572" stopIfTrue="1">
      <formula>(M27=0)</formula>
    </cfRule>
    <cfRule type="expression" dxfId="82" priority="573" stopIfTrue="1">
      <formula>(M27&lt;0)</formula>
    </cfRule>
    <cfRule type="expression" dxfId="81" priority="574" stopIfTrue="1">
      <formula>(M27&gt;0)</formula>
    </cfRule>
  </conditionalFormatting>
  <conditionalFormatting sqref="AF3:AF23">
    <cfRule type="expression" dxfId="80" priority="575" stopIfTrue="1">
      <formula>(M27=0)</formula>
    </cfRule>
    <cfRule type="expression" dxfId="79" priority="576" stopIfTrue="1">
      <formula>(M27&lt;0)</formula>
    </cfRule>
    <cfRule type="expression" dxfId="78" priority="577" stopIfTrue="1">
      <formula>(M27&gt;0)</formula>
    </cfRule>
  </conditionalFormatting>
  <conditionalFormatting sqref="AH3:AH23">
    <cfRule type="expression" dxfId="77" priority="578">
      <formula>(N27=0)</formula>
    </cfRule>
    <cfRule type="expression" dxfId="76" priority="579">
      <formula>(N27&lt;0)</formula>
    </cfRule>
    <cfRule type="expression" dxfId="75" priority="580">
      <formula>(N27&gt;0)</formula>
    </cfRule>
  </conditionalFormatting>
  <conditionalFormatting sqref="AI3:AI23">
    <cfRule type="expression" dxfId="74" priority="583">
      <formula>(N27&gt;0)</formula>
    </cfRule>
    <cfRule type="expression" dxfId="73" priority="581">
      <formula>(N27=0)</formula>
    </cfRule>
    <cfRule type="expression" dxfId="72" priority="582">
      <formula>(N27&lt;0)</formula>
    </cfRule>
  </conditionalFormatting>
  <conditionalFormatting sqref="AK3:AK23">
    <cfRule type="expression" dxfId="71" priority="584" stopIfTrue="1">
      <formula>(O27 =0)</formula>
    </cfRule>
    <cfRule type="expression" dxfId="70" priority="585" stopIfTrue="1">
      <formula>(O27 &lt;0)</formula>
    </cfRule>
    <cfRule type="expression" dxfId="69" priority="586" stopIfTrue="1">
      <formula>(O27&gt;0)</formula>
    </cfRule>
  </conditionalFormatting>
  <conditionalFormatting sqref="AL3:AL23">
    <cfRule type="expression" dxfId="68" priority="589" stopIfTrue="1">
      <formula>(O27&gt;0)</formula>
    </cfRule>
    <cfRule type="expression" dxfId="67" priority="588" stopIfTrue="1">
      <formula>(O27 &lt;0)</formula>
    </cfRule>
    <cfRule type="expression" dxfId="66" priority="587">
      <formula>(O27=0)</formula>
    </cfRule>
  </conditionalFormatting>
  <conditionalFormatting sqref="AN3:AN23">
    <cfRule type="expression" dxfId="65" priority="590">
      <formula>(P27 =0)</formula>
    </cfRule>
    <cfRule type="expression" dxfId="64" priority="591">
      <formula>(P27 &lt;0)</formula>
    </cfRule>
    <cfRule type="expression" dxfId="63" priority="592">
      <formula>(P27&gt;0)</formula>
    </cfRule>
  </conditionalFormatting>
  <conditionalFormatting sqref="AO3:AO23">
    <cfRule type="expression" dxfId="62" priority="595">
      <formula>(P27&gt;0)</formula>
    </cfRule>
    <cfRule type="expression" dxfId="61" priority="593" stopIfTrue="1">
      <formula>(P27=0)</formula>
    </cfRule>
    <cfRule type="expression" dxfId="60" priority="594">
      <formula>(P27 &lt;0)</formula>
    </cfRule>
  </conditionalFormatting>
  <conditionalFormatting sqref="AO27:AO47">
    <cfRule type="colorScale" priority="534">
      <colorScale>
        <cfvo type="min"/>
        <cfvo type="percentile" val="50"/>
        <cfvo type="max"/>
        <color rgb="FFF8696B"/>
        <color rgb="FFFFEB84"/>
        <color rgb="FF63BE7B"/>
      </colorScale>
    </cfRule>
  </conditionalFormatting>
  <conditionalFormatting sqref="AQ3:AQ22">
    <cfRule type="expression" dxfId="59" priority="596">
      <formula>(Q27 =0)</formula>
    </cfRule>
    <cfRule type="expression" dxfId="58" priority="597">
      <formula>(Q27 &lt;0)</formula>
    </cfRule>
    <cfRule type="expression" dxfId="57" priority="598">
      <formula>(Q27&gt;0)</formula>
    </cfRule>
  </conditionalFormatting>
  <conditionalFormatting sqref="AQ23">
    <cfRule type="expression" dxfId="56" priority="599">
      <formula>(Q27 =0)</formula>
    </cfRule>
    <cfRule type="expression" dxfId="55" priority="601">
      <formula>(Q27&gt;0)</formula>
    </cfRule>
    <cfRule type="expression" dxfId="54" priority="600">
      <formula>(Q27 &lt;0)</formula>
    </cfRule>
  </conditionalFormatting>
  <conditionalFormatting sqref="AR3:AR22">
    <cfRule type="expression" dxfId="53" priority="604">
      <formula>(Q27&gt;0)</formula>
    </cfRule>
    <cfRule type="expression" dxfId="52" priority="603">
      <formula>(Q27 &lt;0)</formula>
    </cfRule>
    <cfRule type="expression" dxfId="51" priority="602" stopIfTrue="1">
      <formula>(Q27=0)</formula>
    </cfRule>
  </conditionalFormatting>
  <conditionalFormatting sqref="AT3:AT23">
    <cfRule type="expression" dxfId="50" priority="605">
      <formula>(R27 =0)</formula>
    </cfRule>
    <cfRule type="expression" dxfId="49" priority="607">
      <formula>(R27&gt;0)</formula>
    </cfRule>
    <cfRule type="expression" dxfId="48" priority="606">
      <formula>(R27 &lt;0)</formula>
    </cfRule>
  </conditionalFormatting>
  <conditionalFormatting sqref="AU3:AU23">
    <cfRule type="expression" dxfId="47" priority="609">
      <formula>(R27 &lt;0)</formula>
    </cfRule>
    <cfRule type="expression" dxfId="46" priority="610">
      <formula>(R27&gt;0)</formula>
    </cfRule>
    <cfRule type="expression" dxfId="45" priority="608">
      <formula>(R27=0)</formula>
    </cfRule>
  </conditionalFormatting>
  <conditionalFormatting sqref="AV52:AW69 AU52:AU64 AU66:AU78 AL52:AT69 AU83:AU95 AU97:AU106 AL83:AT100">
    <cfRule type="colorScale" priority="365">
      <colorScale>
        <cfvo type="min"/>
        <cfvo type="percentile" val="50"/>
        <cfvo type="max"/>
        <color rgb="FFF8696B"/>
        <color rgb="FFFFEB84"/>
        <color rgb="FF63BE7B"/>
      </colorScale>
    </cfRule>
  </conditionalFormatting>
  <conditionalFormatting sqref="AW3:AW23">
    <cfRule type="expression" dxfId="44" priority="555">
      <formula>(S27 &lt;0)</formula>
    </cfRule>
    <cfRule type="expression" dxfId="43" priority="554">
      <formula>(S27 =0)</formula>
    </cfRule>
    <cfRule type="expression" dxfId="42" priority="556">
      <formula>(S27&gt;0)</formula>
    </cfRule>
  </conditionalFormatting>
  <conditionalFormatting sqref="AX3:AX23">
    <cfRule type="expression" dxfId="41" priority="559">
      <formula>(S27&gt;0)</formula>
    </cfRule>
    <cfRule type="expression" dxfId="40" priority="558">
      <formula>(S27 &lt;0)</formula>
    </cfRule>
    <cfRule type="expression" dxfId="39" priority="557">
      <formula>(S27=0)</formula>
    </cfRule>
  </conditionalFormatting>
  <conditionalFormatting sqref="AY25:AZ25">
    <cfRule type="colorScale" priority="553">
      <colorScale>
        <cfvo type="min"/>
        <cfvo type="percentile" val="50"/>
        <cfvo type="max"/>
        <color rgb="FFF8696B"/>
        <color rgb="FFFCFCFF"/>
        <color rgb="FF63BE7B"/>
      </colorScale>
    </cfRule>
  </conditionalFormatting>
  <conditionalFormatting sqref="AZ3:AZ23">
    <cfRule type="expression" dxfId="38" priority="562">
      <formula>(T27&gt;0)</formula>
    </cfRule>
    <cfRule type="expression" dxfId="37" priority="560">
      <formula>(T27 =0)</formula>
    </cfRule>
    <cfRule type="expression" dxfId="36" priority="561">
      <formula>(T27 &lt;0)</formula>
    </cfRule>
  </conditionalFormatting>
  <conditionalFormatting sqref="AZ24">
    <cfRule type="colorScale" priority="375">
      <colorScale>
        <cfvo type="min"/>
        <cfvo type="percentile" val="50"/>
        <cfvo type="max"/>
        <color rgb="FFF8696B"/>
        <color rgb="FFFCFCFF"/>
        <color rgb="FF63BE7B"/>
      </colorScale>
    </cfRule>
  </conditionalFormatting>
  <conditionalFormatting sqref="BA3:BA23">
    <cfRule type="expression" dxfId="35" priority="565">
      <formula>(T27&gt;0)</formula>
    </cfRule>
    <cfRule type="expression" dxfId="34" priority="563">
      <formula>(T27=0)</formula>
    </cfRule>
    <cfRule type="expression" dxfId="33" priority="564">
      <formula>(T27 &lt;0)</formula>
    </cfRule>
  </conditionalFormatting>
  <conditionalFormatting sqref="BC3:BC23">
    <cfRule type="expression" dxfId="32" priority="568">
      <formula>(U27&gt;0)</formula>
    </cfRule>
    <cfRule type="expression" dxfId="31" priority="567">
      <formula>(U27 &lt;0)</formula>
    </cfRule>
    <cfRule type="expression" dxfId="30" priority="566">
      <formula>(U27 =0)</formula>
    </cfRule>
  </conditionalFormatting>
  <conditionalFormatting sqref="BD3:BD23">
    <cfRule type="expression" dxfId="29" priority="571">
      <formula>(U27&gt;0)</formula>
    </cfRule>
    <cfRule type="expression" dxfId="28" priority="570">
      <formula>(U27 &lt;0)</formula>
    </cfRule>
    <cfRule type="expression" dxfId="27" priority="569">
      <formula>(U27=0)</formula>
    </cfRule>
  </conditionalFormatting>
  <conditionalFormatting sqref="BF3:BF23">
    <cfRule type="expression" dxfId="26" priority="612">
      <formula>(V27 =0)</formula>
    </cfRule>
    <cfRule type="expression" dxfId="25" priority="613">
      <formula>(V27 &lt;0)</formula>
    </cfRule>
    <cfRule type="expression" dxfId="24" priority="614">
      <formula>(V27&gt;0)</formula>
    </cfRule>
  </conditionalFormatting>
  <conditionalFormatting sqref="BG3:BG23">
    <cfRule type="expression" dxfId="23" priority="617">
      <formula>(V27&gt;0)</formula>
    </cfRule>
    <cfRule type="expression" dxfId="22" priority="616">
      <formula>(V27 &lt;0)</formula>
    </cfRule>
    <cfRule type="expression" dxfId="21" priority="615">
      <formula>(V27=0)</formula>
    </cfRule>
  </conditionalFormatting>
  <conditionalFormatting sqref="BI3:BI23">
    <cfRule type="expression" dxfId="20" priority="620">
      <formula>(W27&gt;0)</formula>
    </cfRule>
    <cfRule type="expression" dxfId="19" priority="618">
      <formula>(W27 =0)</formula>
    </cfRule>
    <cfRule type="expression" dxfId="18" priority="619">
      <formula>(W27 &lt;0)</formula>
    </cfRule>
  </conditionalFormatting>
  <conditionalFormatting sqref="BJ3:BJ23">
    <cfRule type="expression" dxfId="17" priority="623">
      <formula>(W27&gt;0)</formula>
    </cfRule>
    <cfRule type="expression" dxfId="16" priority="622">
      <formula>(W27 &lt;0)</formula>
    </cfRule>
    <cfRule type="expression" dxfId="15" priority="621">
      <formula>(W27=0)</formula>
    </cfRule>
  </conditionalFormatting>
  <conditionalFormatting sqref="DN3:DO22">
    <cfRule type="colorScale" priority="276">
      <colorScale>
        <cfvo type="min"/>
        <cfvo type="max"/>
        <color theme="0"/>
        <color theme="3" tint="0.39997558519241921"/>
      </colorScale>
    </cfRule>
    <cfRule type="colorScale" priority="275">
      <colorScale>
        <cfvo type="min"/>
        <cfvo type="max"/>
        <color theme="0"/>
        <color theme="3" tint="0.59999389629810485"/>
      </colorScale>
    </cfRule>
    <cfRule type="colorScale" priority="274">
      <colorScale>
        <cfvo type="min"/>
        <cfvo type="max"/>
        <color theme="0"/>
        <color theme="3" tint="0.59999389629810485"/>
      </colorScale>
    </cfRule>
    <cfRule type="colorScale" priority="277">
      <colorScale>
        <cfvo type="min"/>
        <cfvo type="max"/>
        <color theme="0"/>
        <color theme="0" tint="-0.249977111117893"/>
      </colorScale>
    </cfRule>
    <cfRule type="colorScale" priority="278">
      <colorScale>
        <cfvo type="min"/>
        <cfvo type="max"/>
        <color theme="0"/>
        <color theme="0" tint="-0.34998626667073579"/>
      </colorScale>
    </cfRule>
    <cfRule type="colorScale" priority="279">
      <colorScale>
        <cfvo type="min"/>
        <cfvo type="max"/>
        <color theme="0"/>
        <color rgb="FF00BAE2"/>
      </colorScale>
    </cfRule>
  </conditionalFormatting>
  <conditionalFormatting sqref="DP3:DP22">
    <cfRule type="expression" dxfId="14" priority="291" stopIfTrue="1">
      <formula>DP3&gt;33.3</formula>
    </cfRule>
    <cfRule type="expression" dxfId="13" priority="290">
      <formula>DP3&gt;66.67</formula>
    </cfRule>
    <cfRule type="expression" dxfId="12" priority="289">
      <formula>DP3&lt;33.3</formula>
    </cfRule>
  </conditionalFormatting>
  <conditionalFormatting sqref="DU3:DY22">
    <cfRule type="colorScale" priority="273">
      <colorScale>
        <cfvo type="min"/>
        <cfvo type="max"/>
        <color theme="0"/>
        <color theme="3" tint="0.59999389629810485"/>
      </colorScale>
    </cfRule>
  </conditionalFormatting>
  <conditionalFormatting sqref="DZ3:DZ22">
    <cfRule type="expression" dxfId="11" priority="288" stopIfTrue="1">
      <formula>DZ3&gt;33.3</formula>
    </cfRule>
    <cfRule type="expression" dxfId="10" priority="287">
      <formula>DZ3&gt;66.67</formula>
    </cfRule>
    <cfRule type="expression" dxfId="9" priority="286" stopIfTrue="1">
      <formula>DZ3&lt;33.3</formula>
    </cfRule>
  </conditionalFormatting>
  <conditionalFormatting sqref="EE3:EG22">
    <cfRule type="colorScale" priority="272">
      <colorScale>
        <cfvo type="min"/>
        <cfvo type="max"/>
        <color theme="0"/>
        <color theme="3" tint="0.59999389629810485"/>
      </colorScale>
    </cfRule>
  </conditionalFormatting>
  <conditionalFormatting sqref="EH3:EH22">
    <cfRule type="expression" dxfId="8" priority="285" stopIfTrue="1">
      <formula>EH3&gt;33.3</formula>
    </cfRule>
    <cfRule type="expression" dxfId="7" priority="284" stopIfTrue="1">
      <formula>EH3&gt;66.67</formula>
    </cfRule>
    <cfRule type="expression" dxfId="6" priority="283" stopIfTrue="1">
      <formula>EH3&lt;33.3</formula>
    </cfRule>
  </conditionalFormatting>
  <pageMargins left="0.7" right="0.7" top="0.75" bottom="0.75" header="0.3" footer="0.3"/>
  <pageSetup orientation="portrait" horizontalDpi="0" verticalDpi="0"/>
  <ignoredErrors>
    <ignoredError sqref="J66" formula="1"/>
    <ignoredError sqref="N40:W40 P47:R47"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A3809-3769-3848-9DE6-A4C72F133FBE}">
  <sheetPr>
    <tabColor theme="6" tint="0.39997558519241921"/>
  </sheetPr>
  <dimension ref="A1:T74"/>
  <sheetViews>
    <sheetView zoomScale="70" zoomScaleNormal="70" workbookViewId="0">
      <selection activeCell="N11" sqref="N11"/>
    </sheetView>
  </sheetViews>
  <sheetFormatPr baseColWidth="10" defaultColWidth="11" defaultRowHeight="16"/>
  <cols>
    <col min="1" max="1" width="2.33203125" style="8" customWidth="1"/>
    <col min="2" max="2" width="16.1640625" style="8" customWidth="1"/>
    <col min="3" max="6" width="13.83203125" style="8" customWidth="1"/>
    <col min="7" max="7" width="14.33203125" style="8" customWidth="1"/>
    <col min="8" max="8" width="13.83203125" style="8" customWidth="1"/>
    <col min="9" max="9" width="16.6640625" style="8" customWidth="1"/>
    <col min="10" max="13" width="13.83203125" style="8" customWidth="1"/>
    <col min="14" max="16384" width="11" style="8"/>
  </cols>
  <sheetData>
    <row r="1" spans="1:20">
      <c r="A1" s="34" t="s">
        <v>116</v>
      </c>
    </row>
    <row r="2" spans="1:20" s="14" customFormat="1" ht="61" customHeight="1">
      <c r="A2" s="172" t="s">
        <v>126</v>
      </c>
      <c r="B2" s="140" t="s">
        <v>36</v>
      </c>
      <c r="C2" s="149" t="s">
        <v>38</v>
      </c>
      <c r="D2" s="150" t="s">
        <v>13</v>
      </c>
      <c r="E2" s="151" t="s">
        <v>40</v>
      </c>
      <c r="F2" s="151" t="s">
        <v>111</v>
      </c>
      <c r="G2" s="151" t="s">
        <v>112</v>
      </c>
      <c r="H2" s="151" t="s">
        <v>113</v>
      </c>
      <c r="I2" s="151" t="s">
        <v>42</v>
      </c>
      <c r="J2" s="152" t="s">
        <v>26</v>
      </c>
      <c r="K2" s="152" t="s">
        <v>28</v>
      </c>
      <c r="L2" s="152" t="s">
        <v>114</v>
      </c>
    </row>
    <row r="3" spans="1:20">
      <c r="A3" s="21">
        <v>1</v>
      </c>
      <c r="B3" s="124" t="s">
        <v>77</v>
      </c>
      <c r="C3" s="156">
        <v>7.2925265996216801E-3</v>
      </c>
      <c r="D3" s="156">
        <v>0.625</v>
      </c>
      <c r="E3" s="229">
        <v>151</v>
      </c>
      <c r="F3" s="229">
        <v>72</v>
      </c>
      <c r="G3" s="229">
        <v>412</v>
      </c>
      <c r="H3" s="158">
        <v>6.4374765589440148</v>
      </c>
      <c r="I3" s="158">
        <v>58.541560309512974</v>
      </c>
      <c r="J3" s="413">
        <v>0.41558441558441556</v>
      </c>
      <c r="K3" s="158">
        <v>219.502174487921</v>
      </c>
      <c r="L3" s="158">
        <v>0</v>
      </c>
      <c r="M3" s="414"/>
      <c r="N3" s="230"/>
      <c r="O3" s="231"/>
      <c r="P3" s="231"/>
      <c r="Q3" s="232"/>
      <c r="R3" s="232"/>
      <c r="S3" s="232"/>
      <c r="T3" s="37"/>
    </row>
    <row r="4" spans="1:20">
      <c r="A4" s="21">
        <v>2</v>
      </c>
      <c r="B4" s="124" t="s">
        <v>69</v>
      </c>
      <c r="C4" s="156">
        <v>9.5962403886787395E-2</v>
      </c>
      <c r="D4" s="156">
        <v>0.875</v>
      </c>
      <c r="E4" s="229">
        <v>143</v>
      </c>
      <c r="F4" s="229">
        <v>96</v>
      </c>
      <c r="G4" s="229">
        <v>447</v>
      </c>
      <c r="H4" s="158">
        <v>74.503133020279137</v>
      </c>
      <c r="I4" s="158">
        <v>49.006266040558266</v>
      </c>
      <c r="J4" s="413">
        <v>0.65772897587505275</v>
      </c>
      <c r="K4" s="158">
        <v>690.07602014207873</v>
      </c>
      <c r="L4" s="158">
        <v>4.9192245557350569</v>
      </c>
      <c r="M4" s="414"/>
      <c r="N4" s="32"/>
      <c r="O4" s="112"/>
      <c r="P4" s="112"/>
      <c r="Q4" s="37"/>
      <c r="R4" s="37"/>
      <c r="S4" s="37"/>
      <c r="T4" s="37"/>
    </row>
    <row r="5" spans="1:20">
      <c r="A5" s="21">
        <v>18</v>
      </c>
      <c r="B5" s="124" t="s">
        <v>84</v>
      </c>
      <c r="C5" s="156">
        <v>7.8445327005607204E-2</v>
      </c>
      <c r="D5" s="156">
        <v>0.625</v>
      </c>
      <c r="E5" s="229">
        <v>156</v>
      </c>
      <c r="F5" s="229">
        <v>134</v>
      </c>
      <c r="G5" s="229">
        <v>420</v>
      </c>
      <c r="H5" s="158">
        <v>11.285193685633956</v>
      </c>
      <c r="I5" s="158">
        <v>100</v>
      </c>
      <c r="J5" s="413">
        <v>0.4154641323724837</v>
      </c>
      <c r="K5" s="158">
        <v>610.23709684167261</v>
      </c>
      <c r="L5" s="158">
        <v>0</v>
      </c>
      <c r="M5" s="414"/>
      <c r="N5" s="32"/>
      <c r="O5" s="112"/>
      <c r="P5" s="112"/>
      <c r="Q5" s="37"/>
      <c r="R5" s="37"/>
      <c r="S5" s="37"/>
      <c r="T5" s="37"/>
    </row>
    <row r="6" spans="1:20">
      <c r="A6" s="21">
        <v>4</v>
      </c>
      <c r="B6" s="124" t="s">
        <v>74</v>
      </c>
      <c r="C6" s="156">
        <v>8.24836478868438E-2</v>
      </c>
      <c r="D6" s="156">
        <v>0.875</v>
      </c>
      <c r="E6" s="229">
        <v>158</v>
      </c>
      <c r="F6" s="229">
        <v>73</v>
      </c>
      <c r="G6" s="229">
        <v>283</v>
      </c>
      <c r="H6" s="158">
        <v>0</v>
      </c>
      <c r="I6" s="158">
        <v>98.465947598226563</v>
      </c>
      <c r="J6" s="413">
        <v>0.86939872640195137</v>
      </c>
      <c r="K6" s="158">
        <v>273.31796532097042</v>
      </c>
      <c r="L6" s="158">
        <v>18.695652173913047</v>
      </c>
      <c r="M6" s="414"/>
      <c r="N6" s="32"/>
      <c r="O6" s="112"/>
      <c r="P6" s="112"/>
      <c r="Q6" s="37"/>
      <c r="R6" s="37"/>
      <c r="S6" s="37"/>
      <c r="T6" s="37"/>
    </row>
    <row r="7" spans="1:20">
      <c r="A7" s="21">
        <v>5</v>
      </c>
      <c r="B7" s="124" t="s">
        <v>89</v>
      </c>
      <c r="C7" s="156">
        <v>4.7522246697867402E-3</v>
      </c>
      <c r="D7" s="156">
        <v>0.375</v>
      </c>
      <c r="E7" s="229">
        <v>147</v>
      </c>
      <c r="F7" s="229">
        <v>58</v>
      </c>
      <c r="G7" s="229">
        <v>355</v>
      </c>
      <c r="H7" s="158">
        <v>0</v>
      </c>
      <c r="I7" s="158">
        <v>32.261754298721051</v>
      </c>
      <c r="J7" s="413">
        <v>0.78013347623121909</v>
      </c>
      <c r="K7" s="158">
        <v>713.66730373028815</v>
      </c>
      <c r="L7" s="158">
        <v>0</v>
      </c>
      <c r="M7" s="414"/>
      <c r="N7" s="32"/>
      <c r="O7" s="112"/>
      <c r="P7" s="112"/>
      <c r="Q7" s="37"/>
      <c r="R7" s="37"/>
      <c r="S7" s="37"/>
      <c r="T7" s="37"/>
    </row>
    <row r="8" spans="1:20">
      <c r="A8" s="21">
        <v>3</v>
      </c>
      <c r="B8" s="124" t="s">
        <v>70</v>
      </c>
      <c r="C8" s="156">
        <v>2.4009797799170299E-2</v>
      </c>
      <c r="D8" s="156">
        <v>0.375</v>
      </c>
      <c r="E8" s="229">
        <v>146</v>
      </c>
      <c r="F8" s="229">
        <v>65</v>
      </c>
      <c r="G8" s="229">
        <v>434</v>
      </c>
      <c r="H8" s="158">
        <v>0</v>
      </c>
      <c r="I8" s="158">
        <v>98.606469373147661</v>
      </c>
      <c r="J8" s="413">
        <v>1.0309278350515465</v>
      </c>
      <c r="K8" s="158">
        <v>1055.0892046841379</v>
      </c>
      <c r="L8" s="158">
        <v>10.65</v>
      </c>
      <c r="M8" s="414"/>
      <c r="N8" s="32"/>
      <c r="O8" s="112"/>
      <c r="P8" s="112"/>
      <c r="Q8" s="37"/>
      <c r="R8" s="37"/>
      <c r="S8" s="37"/>
      <c r="T8" s="37"/>
    </row>
    <row r="9" spans="1:20">
      <c r="A9" s="21">
        <v>6</v>
      </c>
      <c r="B9" s="124" t="s">
        <v>80</v>
      </c>
      <c r="C9" s="156">
        <v>3.7531796432976702E-2</v>
      </c>
      <c r="D9" s="156">
        <v>0.25</v>
      </c>
      <c r="E9" s="229">
        <v>159</v>
      </c>
      <c r="F9" s="229">
        <v>93</v>
      </c>
      <c r="G9" s="229">
        <v>488</v>
      </c>
      <c r="H9" s="158">
        <v>13.783536088610596</v>
      </c>
      <c r="I9" s="158">
        <v>91.069073179953421</v>
      </c>
      <c r="J9" s="413">
        <v>1.0309278350515465</v>
      </c>
      <c r="K9" s="158">
        <v>1069.1647667061736</v>
      </c>
      <c r="L9" s="158">
        <v>0</v>
      </c>
      <c r="M9" s="414"/>
      <c r="N9" s="32"/>
      <c r="O9" s="112"/>
      <c r="P9" s="112"/>
      <c r="Q9" s="37"/>
      <c r="R9" s="37"/>
      <c r="S9" s="37"/>
      <c r="T9" s="37"/>
    </row>
    <row r="10" spans="1:20">
      <c r="A10" s="21">
        <v>8</v>
      </c>
      <c r="B10" s="124" t="s">
        <v>91</v>
      </c>
      <c r="C10" s="156">
        <v>3.8078058537142703E-2</v>
      </c>
      <c r="D10" s="156">
        <v>0.625</v>
      </c>
      <c r="E10" s="229">
        <v>162</v>
      </c>
      <c r="F10" s="229">
        <v>36</v>
      </c>
      <c r="G10" s="229">
        <v>285</v>
      </c>
      <c r="H10" s="158">
        <v>0</v>
      </c>
      <c r="I10" s="158">
        <v>30.944811936486559</v>
      </c>
      <c r="J10" s="413">
        <v>0.64935064935064934</v>
      </c>
      <c r="K10" s="158">
        <v>723.81677018215385</v>
      </c>
      <c r="L10" s="158">
        <v>1.4000000000000001</v>
      </c>
      <c r="M10" s="414"/>
      <c r="N10" s="32"/>
      <c r="O10" s="112"/>
      <c r="P10" s="112"/>
      <c r="Q10" s="37"/>
      <c r="R10" s="37"/>
      <c r="S10" s="37"/>
      <c r="T10" s="37"/>
    </row>
    <row r="11" spans="1:20">
      <c r="A11" s="21">
        <v>7</v>
      </c>
      <c r="B11" s="124" t="s">
        <v>99</v>
      </c>
      <c r="C11" s="156">
        <v>3.3447527695219798E-4</v>
      </c>
      <c r="D11" s="156">
        <v>0</v>
      </c>
      <c r="E11" s="153" t="s">
        <v>100</v>
      </c>
      <c r="F11" s="153" t="s">
        <v>100</v>
      </c>
      <c r="G11" s="153" t="s">
        <v>100</v>
      </c>
      <c r="H11" s="158">
        <v>0</v>
      </c>
      <c r="I11" s="158">
        <v>0</v>
      </c>
      <c r="J11" s="413">
        <v>0</v>
      </c>
      <c r="K11" s="158">
        <v>12.933954512905462</v>
      </c>
      <c r="L11" s="158">
        <v>0</v>
      </c>
      <c r="M11" s="414"/>
      <c r="N11" s="32"/>
      <c r="O11" s="112"/>
      <c r="P11" s="112"/>
      <c r="Q11" s="37"/>
      <c r="R11" s="37"/>
      <c r="S11" s="37"/>
      <c r="T11" s="37"/>
    </row>
    <row r="12" spans="1:20">
      <c r="A12" s="21">
        <v>9</v>
      </c>
      <c r="B12" s="124" t="s">
        <v>65</v>
      </c>
      <c r="C12" s="156">
        <v>0.122557330904255</v>
      </c>
      <c r="D12" s="156">
        <v>0.5</v>
      </c>
      <c r="E12" s="229">
        <v>137</v>
      </c>
      <c r="F12" s="229">
        <v>98</v>
      </c>
      <c r="G12" s="229">
        <v>429</v>
      </c>
      <c r="H12" s="158">
        <v>100</v>
      </c>
      <c r="I12" s="158">
        <v>92.311063424659608</v>
      </c>
      <c r="J12" s="413">
        <v>0.76989430605639042</v>
      </c>
      <c r="K12" s="158">
        <v>593.18505644645165</v>
      </c>
      <c r="L12" s="158">
        <v>15</v>
      </c>
      <c r="M12" s="414"/>
      <c r="N12" s="32"/>
      <c r="O12" s="112"/>
      <c r="P12" s="112"/>
      <c r="Q12" s="37"/>
      <c r="R12" s="37"/>
      <c r="S12" s="37"/>
      <c r="T12" s="37"/>
    </row>
    <row r="13" spans="1:20">
      <c r="A13" s="21">
        <v>15</v>
      </c>
      <c r="B13" s="124" t="s">
        <v>68</v>
      </c>
      <c r="C13" s="156">
        <v>0.307832809994038</v>
      </c>
      <c r="D13" s="156">
        <v>1</v>
      </c>
      <c r="E13" s="229">
        <v>148</v>
      </c>
      <c r="F13" s="229">
        <v>18</v>
      </c>
      <c r="G13" s="229">
        <v>196</v>
      </c>
      <c r="H13" s="158">
        <v>0</v>
      </c>
      <c r="I13" s="158">
        <v>90.425356522170759</v>
      </c>
      <c r="J13" s="413">
        <v>0.39406202142433622</v>
      </c>
      <c r="K13" s="158">
        <v>2364.1820060493787</v>
      </c>
      <c r="L13" s="158">
        <v>0</v>
      </c>
      <c r="M13" s="414"/>
      <c r="N13" s="32"/>
      <c r="O13" s="112"/>
      <c r="P13" s="112"/>
      <c r="Q13" s="37"/>
      <c r="R13" s="37"/>
      <c r="S13" s="37"/>
      <c r="T13" s="37"/>
    </row>
    <row r="14" spans="1:20">
      <c r="A14" s="21">
        <v>10</v>
      </c>
      <c r="B14" s="124" t="s">
        <v>71</v>
      </c>
      <c r="C14" s="156">
        <v>0.103754520352542</v>
      </c>
      <c r="D14" s="156">
        <v>0.625</v>
      </c>
      <c r="E14" s="229">
        <v>145</v>
      </c>
      <c r="F14" s="229">
        <v>81</v>
      </c>
      <c r="G14" s="229">
        <v>420</v>
      </c>
      <c r="H14" s="158">
        <v>50</v>
      </c>
      <c r="I14" s="158">
        <v>43.421235256903763</v>
      </c>
      <c r="J14" s="413">
        <v>1.0309278350515465</v>
      </c>
      <c r="K14" s="158">
        <v>1012.6753535145054</v>
      </c>
      <c r="L14" s="158">
        <v>2.25</v>
      </c>
      <c r="M14" s="414"/>
      <c r="N14" s="32"/>
      <c r="O14" s="112"/>
      <c r="P14" s="112"/>
      <c r="Q14" s="37"/>
      <c r="R14" s="37"/>
      <c r="S14" s="37"/>
      <c r="T14" s="37"/>
    </row>
    <row r="15" spans="1:20">
      <c r="A15" s="21">
        <v>19</v>
      </c>
      <c r="B15" s="124" t="s">
        <v>72</v>
      </c>
      <c r="C15" s="156">
        <v>0.226939966250127</v>
      </c>
      <c r="D15" s="156">
        <v>0.875</v>
      </c>
      <c r="E15" s="229">
        <v>150</v>
      </c>
      <c r="F15" s="229">
        <v>67</v>
      </c>
      <c r="G15" s="229">
        <v>405</v>
      </c>
      <c r="H15" s="158">
        <v>9.4114274426347215</v>
      </c>
      <c r="I15" s="158">
        <v>100</v>
      </c>
      <c r="J15" s="413">
        <v>0.76377955508482132</v>
      </c>
      <c r="K15" s="158">
        <v>1351.9258102601107</v>
      </c>
      <c r="L15" s="158">
        <v>0</v>
      </c>
      <c r="M15" s="414"/>
      <c r="N15" s="32"/>
      <c r="O15" s="112"/>
      <c r="P15" s="112"/>
      <c r="Q15" s="37"/>
      <c r="R15" s="37"/>
      <c r="S15" s="37"/>
      <c r="T15" s="37"/>
    </row>
    <row r="16" spans="1:20">
      <c r="A16" s="21">
        <v>13</v>
      </c>
      <c r="B16" s="124" t="s">
        <v>82</v>
      </c>
      <c r="C16" s="156">
        <v>0.111583911281306</v>
      </c>
      <c r="D16" s="156">
        <v>0.75</v>
      </c>
      <c r="E16" s="229">
        <v>148</v>
      </c>
      <c r="F16" s="229">
        <v>38</v>
      </c>
      <c r="G16" s="229">
        <v>295</v>
      </c>
      <c r="H16" s="158">
        <v>0</v>
      </c>
      <c r="I16" s="158">
        <v>89.601710199048014</v>
      </c>
      <c r="J16" s="413">
        <v>1.0740797502235442</v>
      </c>
      <c r="K16" s="158">
        <v>661.04846234915328</v>
      </c>
      <c r="L16" s="158">
        <v>6.9676066812451474</v>
      </c>
      <c r="M16" s="414"/>
      <c r="N16" s="32"/>
      <c r="O16" s="112"/>
      <c r="P16" s="112"/>
      <c r="Q16" s="37"/>
      <c r="R16" s="37"/>
      <c r="S16" s="37"/>
      <c r="T16" s="37"/>
    </row>
    <row r="17" spans="1:20">
      <c r="A17" s="21">
        <v>11</v>
      </c>
      <c r="B17" s="124" t="s">
        <v>76</v>
      </c>
      <c r="C17" s="156">
        <v>0.16291280668305999</v>
      </c>
      <c r="D17" s="156">
        <v>0.875</v>
      </c>
      <c r="E17" s="229">
        <v>150</v>
      </c>
      <c r="F17" s="229">
        <v>24</v>
      </c>
      <c r="G17" s="229">
        <v>254</v>
      </c>
      <c r="H17" s="158">
        <v>0</v>
      </c>
      <c r="I17" s="158">
        <v>0</v>
      </c>
      <c r="J17" s="413">
        <v>0.72923025004595865</v>
      </c>
      <c r="K17" s="158">
        <v>1642.43802290388</v>
      </c>
      <c r="L17" s="158">
        <v>0</v>
      </c>
      <c r="M17" s="414"/>
      <c r="N17" s="32"/>
      <c r="O17" s="112"/>
      <c r="P17" s="112"/>
      <c r="Q17" s="37"/>
      <c r="R17" s="37"/>
      <c r="S17" s="37"/>
      <c r="T17" s="37"/>
    </row>
    <row r="18" spans="1:20">
      <c r="A18" s="21">
        <v>12</v>
      </c>
      <c r="B18" s="124" t="s">
        <v>64</v>
      </c>
      <c r="C18" s="156">
        <v>0.68630283339194897</v>
      </c>
      <c r="D18" s="156">
        <v>0.875</v>
      </c>
      <c r="E18" s="229">
        <v>136</v>
      </c>
      <c r="F18" s="229">
        <v>76</v>
      </c>
      <c r="G18" s="229">
        <v>420</v>
      </c>
      <c r="H18" s="158">
        <v>0</v>
      </c>
      <c r="I18" s="158">
        <v>99.945777064365814</v>
      </c>
      <c r="J18" s="413">
        <v>0.74714912055663041</v>
      </c>
      <c r="K18" s="158">
        <v>2304.5191531515234</v>
      </c>
      <c r="L18" s="158">
        <v>18.695652173913047</v>
      </c>
      <c r="M18" s="414"/>
      <c r="N18" s="32"/>
      <c r="O18" s="112"/>
      <c r="P18" s="112"/>
      <c r="Q18" s="37"/>
      <c r="R18" s="37"/>
      <c r="S18" s="37"/>
      <c r="T18" s="37"/>
    </row>
    <row r="19" spans="1:20">
      <c r="A19" s="21">
        <v>14</v>
      </c>
      <c r="B19" s="124" t="s">
        <v>61</v>
      </c>
      <c r="C19" s="156">
        <v>1</v>
      </c>
      <c r="D19" s="156">
        <v>0.375</v>
      </c>
      <c r="E19" s="229">
        <v>124</v>
      </c>
      <c r="F19" s="229">
        <v>172</v>
      </c>
      <c r="G19" s="229">
        <v>503</v>
      </c>
      <c r="H19" s="158">
        <v>0</v>
      </c>
      <c r="I19" s="158">
        <v>100</v>
      </c>
      <c r="J19" s="413">
        <v>1.0740797502235442</v>
      </c>
      <c r="K19" s="158">
        <v>2928.526637550975</v>
      </c>
      <c r="L19" s="158">
        <v>18.695652173913047</v>
      </c>
      <c r="M19" s="414"/>
      <c r="N19" s="32"/>
      <c r="O19" s="112"/>
      <c r="P19" s="112"/>
      <c r="Q19" s="37"/>
      <c r="R19" s="37"/>
      <c r="S19" s="37"/>
      <c r="T19" s="37"/>
    </row>
    <row r="20" spans="1:20">
      <c r="A20" s="21">
        <v>20</v>
      </c>
      <c r="B20" s="124" t="s">
        <v>79</v>
      </c>
      <c r="C20" s="156">
        <v>5.9474245795052602E-2</v>
      </c>
      <c r="D20" s="156">
        <v>0.25</v>
      </c>
      <c r="E20" s="229">
        <v>130</v>
      </c>
      <c r="F20" s="229">
        <v>22</v>
      </c>
      <c r="G20" s="229">
        <v>262</v>
      </c>
      <c r="H20" s="158">
        <v>6.2908940646772091</v>
      </c>
      <c r="I20" s="158">
        <v>87.089060343668706</v>
      </c>
      <c r="J20" s="413">
        <v>0.55738801210887501</v>
      </c>
      <c r="K20" s="158">
        <v>538.42010703365008</v>
      </c>
      <c r="L20" s="158">
        <v>0</v>
      </c>
      <c r="M20" s="414"/>
      <c r="N20" s="32"/>
      <c r="O20" s="112"/>
      <c r="P20" s="112"/>
      <c r="Q20" s="37"/>
      <c r="R20" s="37"/>
      <c r="S20" s="37"/>
      <c r="T20" s="37"/>
    </row>
    <row r="21" spans="1:20">
      <c r="A21" s="21">
        <v>17</v>
      </c>
      <c r="B21" s="124" t="s">
        <v>81</v>
      </c>
      <c r="C21" s="156">
        <v>0.104585781971365</v>
      </c>
      <c r="D21" s="156">
        <v>0.75</v>
      </c>
      <c r="E21" s="229">
        <v>145</v>
      </c>
      <c r="F21" s="229">
        <v>41</v>
      </c>
      <c r="G21" s="229">
        <v>289</v>
      </c>
      <c r="H21" s="158">
        <v>0</v>
      </c>
      <c r="I21" s="158">
        <v>99.911653517422749</v>
      </c>
      <c r="J21" s="413">
        <v>0.98799060931638116</v>
      </c>
      <c r="K21" s="158">
        <v>152.1255577749333</v>
      </c>
      <c r="L21" s="158">
        <v>0</v>
      </c>
      <c r="M21" s="414"/>
      <c r="N21" s="32"/>
      <c r="O21" s="112"/>
      <c r="P21" s="112"/>
      <c r="Q21" s="37"/>
      <c r="R21" s="37"/>
      <c r="S21" s="37"/>
      <c r="T21" s="37"/>
    </row>
    <row r="22" spans="1:20">
      <c r="A22" s="21">
        <v>28</v>
      </c>
      <c r="B22" s="124" t="s">
        <v>97</v>
      </c>
      <c r="C22" s="156">
        <v>1.47356651567929E-2</v>
      </c>
      <c r="D22" s="156">
        <v>0.125</v>
      </c>
      <c r="E22" s="229">
        <v>171</v>
      </c>
      <c r="F22" s="229">
        <v>47</v>
      </c>
      <c r="G22" s="229">
        <v>205</v>
      </c>
      <c r="H22" s="158">
        <v>0</v>
      </c>
      <c r="I22" s="158">
        <v>0</v>
      </c>
      <c r="J22" s="413">
        <v>0.32467532467532467</v>
      </c>
      <c r="K22" s="158">
        <v>731.84862490574972</v>
      </c>
      <c r="L22" s="158">
        <v>0</v>
      </c>
      <c r="M22" s="414"/>
      <c r="N22" s="32"/>
      <c r="O22" s="112"/>
      <c r="P22" s="112"/>
      <c r="Q22" s="37"/>
      <c r="R22" s="37"/>
      <c r="S22" s="37"/>
      <c r="T22" s="37"/>
    </row>
    <row r="23" spans="1:20">
      <c r="A23" s="21">
        <v>16</v>
      </c>
      <c r="B23" s="124" t="s">
        <v>90</v>
      </c>
      <c r="C23" s="156"/>
      <c r="D23" s="156"/>
      <c r="E23" s="229"/>
      <c r="F23" s="229"/>
      <c r="G23" s="229"/>
      <c r="H23" s="158"/>
      <c r="I23" s="158"/>
      <c r="J23" s="413"/>
      <c r="K23" s="158"/>
      <c r="L23" s="158"/>
      <c r="M23" s="414"/>
      <c r="N23" s="32"/>
      <c r="O23" s="112"/>
      <c r="P23" s="112"/>
      <c r="Q23" s="37"/>
      <c r="R23" s="37"/>
      <c r="S23" s="37"/>
      <c r="T23" s="37"/>
    </row>
    <row r="24" spans="1:20" s="21" customFormat="1">
      <c r="B24" s="165" t="s">
        <v>118</v>
      </c>
      <c r="C24" s="449">
        <f>MAX(C3:C22)</f>
        <v>1</v>
      </c>
      <c r="D24" s="449">
        <f t="shared" ref="D24:L24" si="0">MAX(D3:D22)</f>
        <v>1</v>
      </c>
      <c r="E24" s="450">
        <f t="shared" si="0"/>
        <v>171</v>
      </c>
      <c r="F24" s="450">
        <f t="shared" si="0"/>
        <v>172</v>
      </c>
      <c r="G24" s="450">
        <f t="shared" si="0"/>
        <v>503</v>
      </c>
      <c r="H24" s="450">
        <f t="shared" si="0"/>
        <v>100</v>
      </c>
      <c r="I24" s="451">
        <f t="shared" si="0"/>
        <v>100</v>
      </c>
      <c r="J24" s="449">
        <f t="shared" si="0"/>
        <v>1.0740797502235442</v>
      </c>
      <c r="K24" s="450">
        <f t="shared" si="0"/>
        <v>2928.526637550975</v>
      </c>
      <c r="L24" s="450">
        <f t="shared" si="0"/>
        <v>18.695652173913047</v>
      </c>
    </row>
    <row r="25" spans="1:20" s="21" customFormat="1">
      <c r="B25" s="165" t="s">
        <v>119</v>
      </c>
      <c r="C25" s="452">
        <f t="shared" ref="C25:L25" si="1">MIN(C3:C22)</f>
        <v>3.3447527695219798E-4</v>
      </c>
      <c r="D25" s="452">
        <f t="shared" si="1"/>
        <v>0</v>
      </c>
      <c r="E25" s="450">
        <f t="shared" si="1"/>
        <v>124</v>
      </c>
      <c r="F25" s="450">
        <f t="shared" si="1"/>
        <v>18</v>
      </c>
      <c r="G25" s="450">
        <f t="shared" si="1"/>
        <v>196</v>
      </c>
      <c r="H25" s="450">
        <f t="shared" si="1"/>
        <v>0</v>
      </c>
      <c r="I25" s="451">
        <f t="shared" si="1"/>
        <v>0</v>
      </c>
      <c r="J25" s="449">
        <f t="shared" si="1"/>
        <v>0</v>
      </c>
      <c r="K25" s="450">
        <f t="shared" si="1"/>
        <v>12.933954512905462</v>
      </c>
      <c r="L25" s="450">
        <f t="shared" si="1"/>
        <v>0</v>
      </c>
    </row>
    <row r="26" spans="1:20">
      <c r="C26" s="418"/>
      <c r="D26" s="418"/>
      <c r="E26" s="416"/>
      <c r="F26" s="416"/>
      <c r="G26" s="416"/>
      <c r="H26" s="416"/>
      <c r="I26" s="417"/>
      <c r="J26" s="415"/>
      <c r="K26" s="416"/>
      <c r="L26" s="416"/>
    </row>
    <row r="27" spans="1:20">
      <c r="A27" s="15" t="s">
        <v>110</v>
      </c>
    </row>
    <row r="28" spans="1:20" s="14" customFormat="1" ht="54" customHeight="1">
      <c r="A28" s="172" t="s">
        <v>102</v>
      </c>
      <c r="B28" s="163" t="s">
        <v>31</v>
      </c>
      <c r="C28" s="149" t="s">
        <v>38</v>
      </c>
      <c r="D28" s="149" t="s">
        <v>13</v>
      </c>
      <c r="E28" s="222" t="s">
        <v>40</v>
      </c>
      <c r="F28" s="222" t="s">
        <v>111</v>
      </c>
      <c r="G28" s="222" t="s">
        <v>112</v>
      </c>
      <c r="H28" s="222" t="s">
        <v>113</v>
      </c>
      <c r="I28" s="222" t="s">
        <v>42</v>
      </c>
      <c r="J28" s="223" t="s">
        <v>26</v>
      </c>
      <c r="K28" s="223" t="s">
        <v>28</v>
      </c>
      <c r="L28" s="223" t="s">
        <v>114</v>
      </c>
      <c r="M28" s="13" t="s">
        <v>127</v>
      </c>
    </row>
    <row r="29" spans="1:20">
      <c r="A29" s="175">
        <f>_xlfn.XLOOKUP(B29,'Global sales'!$K$3:$K$30,'Global sales'!$L$3:$L$30,0)</f>
        <v>1</v>
      </c>
      <c r="B29" s="79" t="s">
        <v>77</v>
      </c>
      <c r="C29" s="153">
        <f t="shared" ref="C29:C48" si="2">(C3-$C$25)/($C$24-$C$25)*100</f>
        <v>0.69603793974961514</v>
      </c>
      <c r="D29" s="153">
        <f t="shared" ref="D29:D48" si="3">(D3-$D$25)/($D$24-$D$25)*100</f>
        <v>62.5</v>
      </c>
      <c r="E29" s="153">
        <f t="shared" ref="E29:E36" si="4">($E$24-E3)/(E$24-E$25)*100</f>
        <v>42.553191489361701</v>
      </c>
      <c r="F29" s="153">
        <f t="shared" ref="F29:F36" si="5">(F3-$F$25)/($F$24-$F$25)*100</f>
        <v>35.064935064935064</v>
      </c>
      <c r="G29" s="153">
        <f t="shared" ref="G29:G36" si="6">(G3-$G$25)/($G$24-$G$25)*100</f>
        <v>70.358306188925084</v>
      </c>
      <c r="H29" s="153">
        <f t="shared" ref="H29:L38" si="7">(H3-H$25)/(H$24-H$25)*100</f>
        <v>6.4374765589440148</v>
      </c>
      <c r="I29" s="153">
        <f t="shared" si="7"/>
        <v>58.541560309512974</v>
      </c>
      <c r="J29" s="153">
        <f t="shared" si="7"/>
        <v>38.692137664630728</v>
      </c>
      <c r="K29" s="153">
        <f t="shared" si="7"/>
        <v>7.0849478110148727</v>
      </c>
      <c r="L29" s="153">
        <f t="shared" si="7"/>
        <v>0</v>
      </c>
      <c r="M29" s="154">
        <f t="shared" ref="M29" si="8">(AVERAGE(C29:D29)+AVERAGE(E29:I29)+AVERAGE(J29:L29))/3</f>
        <v>29.816047128030814</v>
      </c>
      <c r="N29" s="74"/>
      <c r="O29" s="112"/>
      <c r="P29" s="112"/>
      <c r="Q29" s="112"/>
      <c r="R29" s="112"/>
    </row>
    <row r="30" spans="1:20">
      <c r="A30" s="175">
        <f>_xlfn.XLOOKUP(B30,'Global sales'!$K$3:$K$30,'Global sales'!$L$3:$L$30,0)</f>
        <v>2</v>
      </c>
      <c r="B30" s="79" t="s">
        <v>69</v>
      </c>
      <c r="C30" s="153">
        <f t="shared" si="2"/>
        <v>9.565992448957207</v>
      </c>
      <c r="D30" s="153">
        <f t="shared" si="3"/>
        <v>87.5</v>
      </c>
      <c r="E30" s="153">
        <f t="shared" si="4"/>
        <v>59.574468085106382</v>
      </c>
      <c r="F30" s="153">
        <f t="shared" si="5"/>
        <v>50.649350649350644</v>
      </c>
      <c r="G30" s="153">
        <f t="shared" si="6"/>
        <v>81.758957654723133</v>
      </c>
      <c r="H30" s="153">
        <f t="shared" si="7"/>
        <v>74.503133020279137</v>
      </c>
      <c r="I30" s="153">
        <f t="shared" si="7"/>
        <v>49.006266040558266</v>
      </c>
      <c r="J30" s="153">
        <f t="shared" si="7"/>
        <v>61.236512068881488</v>
      </c>
      <c r="K30" s="153">
        <f t="shared" si="7"/>
        <v>23.224851316459823</v>
      </c>
      <c r="L30" s="153">
        <f t="shared" si="7"/>
        <v>26.312131344629368</v>
      </c>
      <c r="M30" s="154">
        <f t="shared" ref="M30:M48" si="9">(AVERAGE(C30:D30)+AVERAGE(E30:I30)+AVERAGE(J30:L30))/3</f>
        <v>49.518643185935225</v>
      </c>
      <c r="N30" s="74"/>
      <c r="O30" s="112"/>
      <c r="P30" s="112"/>
      <c r="Q30" s="112"/>
      <c r="R30" s="112"/>
    </row>
    <row r="31" spans="1:20">
      <c r="A31" s="175">
        <f>_xlfn.XLOOKUP(B31,'Global sales'!$K$3:$K$30,'Global sales'!$L$3:$L$30,0)</f>
        <v>18</v>
      </c>
      <c r="B31" s="79" t="s">
        <v>84</v>
      </c>
      <c r="C31" s="153">
        <f t="shared" si="2"/>
        <v>7.8136986618894566</v>
      </c>
      <c r="D31" s="153">
        <f t="shared" si="3"/>
        <v>62.5</v>
      </c>
      <c r="E31" s="153">
        <f t="shared" si="4"/>
        <v>31.914893617021278</v>
      </c>
      <c r="F31" s="153">
        <f t="shared" si="5"/>
        <v>75.324675324675326</v>
      </c>
      <c r="G31" s="153">
        <f t="shared" si="6"/>
        <v>72.964169381107496</v>
      </c>
      <c r="H31" s="153">
        <f t="shared" si="7"/>
        <v>11.285193685633956</v>
      </c>
      <c r="I31" s="153">
        <f t="shared" si="7"/>
        <v>100</v>
      </c>
      <c r="J31" s="153">
        <f t="shared" si="7"/>
        <v>38.680938942011963</v>
      </c>
      <c r="K31" s="153">
        <f t="shared" si="7"/>
        <v>20.48650848260371</v>
      </c>
      <c r="L31" s="153">
        <f t="shared" si="7"/>
        <v>0</v>
      </c>
      <c r="M31" s="154">
        <f t="shared" si="9"/>
        <v>37.725706069168076</v>
      </c>
      <c r="N31" s="74"/>
      <c r="O31" s="112"/>
      <c r="P31" s="112"/>
      <c r="Q31" s="112"/>
      <c r="R31" s="112"/>
    </row>
    <row r="32" spans="1:20">
      <c r="A32" s="175">
        <f>_xlfn.XLOOKUP(B32,'Global sales'!$K$3:$K$30,'Global sales'!$L$3:$L$30,0)</f>
        <v>4</v>
      </c>
      <c r="B32" s="79" t="s">
        <v>74</v>
      </c>
      <c r="C32" s="153">
        <f t="shared" si="2"/>
        <v>8.2176658670559437</v>
      </c>
      <c r="D32" s="153">
        <f t="shared" si="3"/>
        <v>87.5</v>
      </c>
      <c r="E32" s="153">
        <f t="shared" si="4"/>
        <v>27.659574468085108</v>
      </c>
      <c r="F32" s="153">
        <f t="shared" si="5"/>
        <v>35.714285714285715</v>
      </c>
      <c r="G32" s="153">
        <f t="shared" si="6"/>
        <v>28.338762214983714</v>
      </c>
      <c r="H32" s="153">
        <f t="shared" si="7"/>
        <v>0</v>
      </c>
      <c r="I32" s="153">
        <f t="shared" si="7"/>
        <v>98.465947598226563</v>
      </c>
      <c r="J32" s="153">
        <f t="shared" si="7"/>
        <v>80.943591592803671</v>
      </c>
      <c r="K32" s="153">
        <f t="shared" si="7"/>
        <v>8.9307403027484238</v>
      </c>
      <c r="L32" s="153">
        <f t="shared" si="7"/>
        <v>100</v>
      </c>
      <c r="M32" s="154">
        <f t="shared" si="9"/>
        <v>49.728663632609404</v>
      </c>
      <c r="N32" s="74"/>
      <c r="O32" s="112"/>
      <c r="P32" s="112"/>
      <c r="Q32" s="112"/>
      <c r="R32" s="112"/>
    </row>
    <row r="33" spans="1:18">
      <c r="A33" s="175">
        <f>_xlfn.XLOOKUP(B33,'Global sales'!$K$3:$K$30,'Global sales'!$L$3:$L$30,0)</f>
        <v>5</v>
      </c>
      <c r="B33" s="79" t="s">
        <v>89</v>
      </c>
      <c r="C33" s="153">
        <f t="shared" si="2"/>
        <v>0.44192275151815974</v>
      </c>
      <c r="D33" s="153">
        <f t="shared" si="3"/>
        <v>37.5</v>
      </c>
      <c r="E33" s="153">
        <f t="shared" si="4"/>
        <v>51.063829787234042</v>
      </c>
      <c r="F33" s="153">
        <f t="shared" si="5"/>
        <v>25.97402597402597</v>
      </c>
      <c r="G33" s="153">
        <f t="shared" si="6"/>
        <v>51.791530944625407</v>
      </c>
      <c r="H33" s="153">
        <f t="shared" si="7"/>
        <v>0</v>
      </c>
      <c r="I33" s="153">
        <f t="shared" si="7"/>
        <v>32.261754298721051</v>
      </c>
      <c r="J33" s="153">
        <f t="shared" si="7"/>
        <v>72.632732911020142</v>
      </c>
      <c r="K33" s="153">
        <f t="shared" si="7"/>
        <v>24.033993269842252</v>
      </c>
      <c r="L33" s="153">
        <f t="shared" si="7"/>
        <v>0</v>
      </c>
      <c r="M33" s="154">
        <f t="shared" si="9"/>
        <v>27.803810545655949</v>
      </c>
      <c r="N33" s="74"/>
      <c r="O33" s="112"/>
      <c r="P33" s="112"/>
      <c r="Q33" s="112"/>
      <c r="R33" s="112"/>
    </row>
    <row r="34" spans="1:18">
      <c r="A34" s="175">
        <f>_xlfn.XLOOKUP(B34,'Global sales'!$K$3:$K$30,'Global sales'!$L$3:$L$30,0)</f>
        <v>3</v>
      </c>
      <c r="B34" s="79" t="s">
        <v>70</v>
      </c>
      <c r="C34" s="153">
        <f t="shared" si="2"/>
        <v>2.3683243981808042</v>
      </c>
      <c r="D34" s="153">
        <f t="shared" si="3"/>
        <v>37.5</v>
      </c>
      <c r="E34" s="153">
        <f t="shared" si="4"/>
        <v>53.191489361702125</v>
      </c>
      <c r="F34" s="153">
        <f t="shared" si="5"/>
        <v>30.519480519480517</v>
      </c>
      <c r="G34" s="153">
        <f t="shared" si="6"/>
        <v>77.524429967426713</v>
      </c>
      <c r="H34" s="153">
        <f t="shared" si="7"/>
        <v>0</v>
      </c>
      <c r="I34" s="153">
        <f t="shared" si="7"/>
        <v>98.606469373147661</v>
      </c>
      <c r="J34" s="153">
        <f t="shared" si="7"/>
        <v>95.982429129399691</v>
      </c>
      <c r="K34" s="153">
        <f t="shared" si="7"/>
        <v>35.744198983422429</v>
      </c>
      <c r="L34" s="153">
        <f t="shared" si="7"/>
        <v>56.965116279069761</v>
      </c>
      <c r="M34" s="154">
        <f t="shared" si="9"/>
        <v>44.933261391357483</v>
      </c>
      <c r="N34" s="74"/>
      <c r="O34" s="112"/>
      <c r="P34" s="112"/>
      <c r="Q34" s="112"/>
      <c r="R34" s="112"/>
    </row>
    <row r="35" spans="1:18">
      <c r="A35" s="175">
        <f>_xlfn.XLOOKUP(B35,'Global sales'!$K$3:$K$30,'Global sales'!$L$3:$L$30,0)</f>
        <v>6</v>
      </c>
      <c r="B35" s="79" t="s">
        <v>80</v>
      </c>
      <c r="C35" s="153">
        <f t="shared" si="2"/>
        <v>3.7209766903114749</v>
      </c>
      <c r="D35" s="153">
        <f t="shared" si="3"/>
        <v>25</v>
      </c>
      <c r="E35" s="153">
        <f t="shared" si="4"/>
        <v>25.531914893617021</v>
      </c>
      <c r="F35" s="153">
        <f t="shared" si="5"/>
        <v>48.701298701298704</v>
      </c>
      <c r="G35" s="153">
        <f t="shared" si="6"/>
        <v>95.114006514657973</v>
      </c>
      <c r="H35" s="153">
        <f t="shared" si="7"/>
        <v>13.783536088610596</v>
      </c>
      <c r="I35" s="153">
        <f t="shared" si="7"/>
        <v>91.069073179953421</v>
      </c>
      <c r="J35" s="153">
        <f t="shared" si="7"/>
        <v>95.982429129399691</v>
      </c>
      <c r="K35" s="153">
        <f t="shared" si="7"/>
        <v>36.226967447752948</v>
      </c>
      <c r="L35" s="153">
        <f t="shared" si="7"/>
        <v>0</v>
      </c>
      <c r="M35" s="154">
        <f t="shared" si="9"/>
        <v>37.756751026611383</v>
      </c>
      <c r="N35" s="74"/>
      <c r="O35" s="112"/>
      <c r="P35" s="112"/>
      <c r="Q35" s="112"/>
      <c r="R35" s="112"/>
    </row>
    <row r="36" spans="1:18">
      <c r="A36" s="175">
        <f>_xlfn.XLOOKUP(B36,'Global sales'!$K$3:$K$30,'Global sales'!$L$3:$L$30,0)</f>
        <v>8</v>
      </c>
      <c r="B36" s="79" t="s">
        <v>91</v>
      </c>
      <c r="C36" s="153">
        <f t="shared" si="2"/>
        <v>3.7756211779582145</v>
      </c>
      <c r="D36" s="153">
        <f t="shared" si="3"/>
        <v>62.5</v>
      </c>
      <c r="E36" s="153">
        <f t="shared" si="4"/>
        <v>19.148936170212767</v>
      </c>
      <c r="F36" s="153">
        <f t="shared" si="5"/>
        <v>11.688311688311687</v>
      </c>
      <c r="G36" s="153">
        <f t="shared" si="6"/>
        <v>28.990228013029316</v>
      </c>
      <c r="H36" s="153">
        <f t="shared" si="7"/>
        <v>0</v>
      </c>
      <c r="I36" s="153">
        <f t="shared" si="7"/>
        <v>30.944811936486559</v>
      </c>
      <c r="J36" s="153">
        <f t="shared" si="7"/>
        <v>60.456465100985511</v>
      </c>
      <c r="K36" s="153">
        <f t="shared" si="7"/>
        <v>24.382103158816516</v>
      </c>
      <c r="L36" s="153">
        <f t="shared" si="7"/>
        <v>7.4883720930232558</v>
      </c>
      <c r="M36" s="154">
        <f t="shared" si="9"/>
        <v>27.355971644954092</v>
      </c>
      <c r="N36" s="74"/>
      <c r="O36" s="112"/>
      <c r="P36" s="112"/>
      <c r="Q36" s="112"/>
      <c r="R36" s="112"/>
    </row>
    <row r="37" spans="1:18">
      <c r="A37" s="175">
        <f>_xlfn.XLOOKUP(B37,'Global sales'!$K$3:$K$30,'Global sales'!$L$3:$L$30,0)</f>
        <v>7</v>
      </c>
      <c r="B37" s="79" t="s">
        <v>99</v>
      </c>
      <c r="C37" s="153">
        <f t="shared" si="2"/>
        <v>0</v>
      </c>
      <c r="D37" s="153">
        <f t="shared" si="3"/>
        <v>0</v>
      </c>
      <c r="E37" s="153" t="s">
        <v>100</v>
      </c>
      <c r="F37" s="153" t="s">
        <v>100</v>
      </c>
      <c r="G37" s="153" t="s">
        <v>100</v>
      </c>
      <c r="H37" s="153">
        <f t="shared" si="7"/>
        <v>0</v>
      </c>
      <c r="I37" s="153">
        <f t="shared" si="7"/>
        <v>0</v>
      </c>
      <c r="J37" s="153">
        <f t="shared" si="7"/>
        <v>0</v>
      </c>
      <c r="K37" s="153">
        <f t="shared" si="7"/>
        <v>0</v>
      </c>
      <c r="L37" s="153">
        <f t="shared" si="7"/>
        <v>0</v>
      </c>
      <c r="M37" s="154">
        <f t="shared" si="9"/>
        <v>0</v>
      </c>
      <c r="N37" s="74"/>
      <c r="O37" s="112"/>
      <c r="P37" s="112"/>
      <c r="Q37" s="112"/>
      <c r="R37" s="112"/>
    </row>
    <row r="38" spans="1:18">
      <c r="A38" s="175">
        <f>_xlfn.XLOOKUP(B38,'Global sales'!$K$3:$K$30,'Global sales'!$L$3:$L$30,0)</f>
        <v>9</v>
      </c>
      <c r="B38" s="79" t="s">
        <v>65</v>
      </c>
      <c r="C38" s="153">
        <f t="shared" si="2"/>
        <v>12.226374982888803</v>
      </c>
      <c r="D38" s="153">
        <f t="shared" si="3"/>
        <v>50</v>
      </c>
      <c r="E38" s="153">
        <f t="shared" ref="E38:E48" si="10">($E$24-E12)/(E$24-E$25)*100</f>
        <v>72.340425531914903</v>
      </c>
      <c r="F38" s="153">
        <f t="shared" ref="F38:F48" si="11">(F12-$F$25)/($F$24-$F$25)*100</f>
        <v>51.94805194805194</v>
      </c>
      <c r="G38" s="153">
        <f t="shared" ref="G38:G48" si="12">(G12-$G$25)/($G$24-$G$25)*100</f>
        <v>75.895765472312704</v>
      </c>
      <c r="H38" s="153">
        <f t="shared" si="7"/>
        <v>100</v>
      </c>
      <c r="I38" s="153">
        <f t="shared" si="7"/>
        <v>92.311063424659608</v>
      </c>
      <c r="J38" s="153">
        <f t="shared" si="7"/>
        <v>71.67943589814027</v>
      </c>
      <c r="K38" s="153">
        <f t="shared" si="7"/>
        <v>19.901651739944697</v>
      </c>
      <c r="L38" s="153">
        <f t="shared" si="7"/>
        <v>80.232558139534873</v>
      </c>
      <c r="M38" s="154">
        <f t="shared" si="9"/>
        <v>55.627821342012957</v>
      </c>
      <c r="N38" s="74"/>
      <c r="O38" s="112"/>
      <c r="P38" s="112"/>
      <c r="Q38" s="112"/>
      <c r="R38" s="112"/>
    </row>
    <row r="39" spans="1:18">
      <c r="A39" s="175">
        <f>_xlfn.XLOOKUP(B39,'Global sales'!$K$3:$K$30,'Global sales'!$L$3:$L$30,0)</f>
        <v>15</v>
      </c>
      <c r="B39" s="79" t="s">
        <v>68</v>
      </c>
      <c r="C39" s="153">
        <f t="shared" si="2"/>
        <v>30.760121972024258</v>
      </c>
      <c r="D39" s="153">
        <f t="shared" si="3"/>
        <v>100</v>
      </c>
      <c r="E39" s="153">
        <f t="shared" si="10"/>
        <v>48.936170212765958</v>
      </c>
      <c r="F39" s="153">
        <f t="shared" si="11"/>
        <v>0</v>
      </c>
      <c r="G39" s="153">
        <f t="shared" si="12"/>
        <v>0</v>
      </c>
      <c r="H39" s="153">
        <f t="shared" ref="H39:L48" si="13">(H13-H$25)/(H$24-H$25)*100</f>
        <v>0</v>
      </c>
      <c r="I39" s="153">
        <f t="shared" si="13"/>
        <v>90.425356522170759</v>
      </c>
      <c r="J39" s="153">
        <f t="shared" si="13"/>
        <v>36.688339142630852</v>
      </c>
      <c r="K39" s="153">
        <f t="shared" si="13"/>
        <v>80.643913850354949</v>
      </c>
      <c r="L39" s="153">
        <f t="shared" si="13"/>
        <v>0</v>
      </c>
      <c r="M39" s="154">
        <f t="shared" si="9"/>
        <v>44.121039110220465</v>
      </c>
      <c r="N39" s="74"/>
      <c r="O39" s="112"/>
      <c r="P39" s="112"/>
      <c r="Q39" s="112"/>
      <c r="R39" s="112"/>
    </row>
    <row r="40" spans="1:18">
      <c r="A40" s="175">
        <f>_xlfn.XLOOKUP(B40,'Global sales'!$K$3:$K$30,'Global sales'!$L$3:$L$30,0)</f>
        <v>10</v>
      </c>
      <c r="B40" s="79" t="s">
        <v>71</v>
      </c>
      <c r="C40" s="153">
        <f t="shared" si="2"/>
        <v>10.345464809766426</v>
      </c>
      <c r="D40" s="153">
        <f t="shared" si="3"/>
        <v>62.5</v>
      </c>
      <c r="E40" s="153">
        <f t="shared" si="10"/>
        <v>55.319148936170215</v>
      </c>
      <c r="F40" s="153">
        <f t="shared" si="11"/>
        <v>40.909090909090914</v>
      </c>
      <c r="G40" s="153">
        <f t="shared" si="12"/>
        <v>72.964169381107496</v>
      </c>
      <c r="H40" s="153">
        <f t="shared" si="13"/>
        <v>50</v>
      </c>
      <c r="I40" s="153">
        <f t="shared" si="13"/>
        <v>43.421235256903763</v>
      </c>
      <c r="J40" s="153">
        <f t="shared" si="13"/>
        <v>95.982429129399691</v>
      </c>
      <c r="K40" s="153">
        <f t="shared" si="13"/>
        <v>34.289474137377177</v>
      </c>
      <c r="L40" s="153">
        <f t="shared" si="13"/>
        <v>12.034883720930232</v>
      </c>
      <c r="M40" s="154">
        <f t="shared" si="9"/>
        <v>45.460352321368902</v>
      </c>
      <c r="N40" s="74"/>
      <c r="O40" s="112"/>
      <c r="P40" s="112"/>
      <c r="Q40" s="112"/>
      <c r="R40" s="112"/>
    </row>
    <row r="41" spans="1:18">
      <c r="A41" s="175">
        <f>_xlfn.XLOOKUP(B41,'Global sales'!$K$3:$K$30,'Global sales'!$L$3:$L$30,0)</f>
        <v>19</v>
      </c>
      <c r="B41" s="79" t="s">
        <v>72</v>
      </c>
      <c r="C41" s="153">
        <f t="shared" si="2"/>
        <v>22.66813102672063</v>
      </c>
      <c r="D41" s="153">
        <f t="shared" si="3"/>
        <v>87.5</v>
      </c>
      <c r="E41" s="153">
        <f t="shared" si="10"/>
        <v>44.680851063829785</v>
      </c>
      <c r="F41" s="153">
        <f t="shared" si="11"/>
        <v>31.818181818181817</v>
      </c>
      <c r="G41" s="153">
        <f t="shared" si="12"/>
        <v>68.078175895765469</v>
      </c>
      <c r="H41" s="153">
        <f t="shared" si="13"/>
        <v>9.4114274426347215</v>
      </c>
      <c r="I41" s="153">
        <f t="shared" si="13"/>
        <v>100</v>
      </c>
      <c r="J41" s="153">
        <f t="shared" si="13"/>
        <v>71.110134505920882</v>
      </c>
      <c r="K41" s="153">
        <f t="shared" si="13"/>
        <v>45.925202911126995</v>
      </c>
      <c r="L41" s="153">
        <f t="shared" si="13"/>
        <v>0</v>
      </c>
      <c r="M41" s="154">
        <f t="shared" si="9"/>
        <v>48.297857298819544</v>
      </c>
      <c r="N41" s="74"/>
      <c r="O41" s="112"/>
      <c r="P41" s="112"/>
      <c r="Q41" s="112"/>
      <c r="R41" s="112"/>
    </row>
    <row r="42" spans="1:18">
      <c r="A42" s="175">
        <f>_xlfn.XLOOKUP(B42,'Global sales'!$K$3:$K$30,'Global sales'!$L$3:$L$30,0)</f>
        <v>13</v>
      </c>
      <c r="B42" s="79" t="s">
        <v>82</v>
      </c>
      <c r="C42" s="153">
        <f t="shared" si="2"/>
        <v>11.12866586403236</v>
      </c>
      <c r="D42" s="153">
        <f t="shared" si="3"/>
        <v>75</v>
      </c>
      <c r="E42" s="153">
        <f t="shared" si="10"/>
        <v>48.936170212765958</v>
      </c>
      <c r="F42" s="153">
        <f t="shared" si="11"/>
        <v>12.987012987012985</v>
      </c>
      <c r="G42" s="153">
        <f t="shared" si="12"/>
        <v>32.247557003257327</v>
      </c>
      <c r="H42" s="153">
        <f t="shared" si="13"/>
        <v>0</v>
      </c>
      <c r="I42" s="153">
        <f t="shared" si="13"/>
        <v>89.601710199048014</v>
      </c>
      <c r="J42" s="153">
        <f t="shared" si="13"/>
        <v>100</v>
      </c>
      <c r="K42" s="153">
        <f t="shared" si="13"/>
        <v>22.229254161829893</v>
      </c>
      <c r="L42" s="153">
        <f t="shared" si="13"/>
        <v>37.268593876427524</v>
      </c>
      <c r="M42" s="154">
        <f t="shared" si="9"/>
        <v>44.328257452839608</v>
      </c>
      <c r="N42" s="74"/>
      <c r="O42" s="112"/>
      <c r="P42" s="112"/>
      <c r="Q42" s="112"/>
      <c r="R42" s="112"/>
    </row>
    <row r="43" spans="1:18">
      <c r="A43" s="175">
        <f>_xlfn.XLOOKUP(B43,'Global sales'!$K$3:$K$30,'Global sales'!$L$3:$L$30,0)</f>
        <v>11</v>
      </c>
      <c r="B43" s="79" t="s">
        <v>76</v>
      </c>
      <c r="C43" s="153">
        <f t="shared" si="2"/>
        <v>16.263272803285808</v>
      </c>
      <c r="D43" s="153">
        <f t="shared" si="3"/>
        <v>87.5</v>
      </c>
      <c r="E43" s="153">
        <f t="shared" si="10"/>
        <v>44.680851063829785</v>
      </c>
      <c r="F43" s="153">
        <f t="shared" si="11"/>
        <v>3.8961038961038961</v>
      </c>
      <c r="G43" s="153">
        <f t="shared" si="12"/>
        <v>18.892508143322477</v>
      </c>
      <c r="H43" s="153">
        <f t="shared" si="13"/>
        <v>0</v>
      </c>
      <c r="I43" s="153">
        <f t="shared" si="13"/>
        <v>0</v>
      </c>
      <c r="J43" s="153">
        <f t="shared" si="13"/>
        <v>67.893492070229115</v>
      </c>
      <c r="K43" s="153">
        <f t="shared" si="13"/>
        <v>55.889290636201594</v>
      </c>
      <c r="L43" s="153">
        <f t="shared" si="13"/>
        <v>0</v>
      </c>
      <c r="M43" s="154">
        <f t="shared" si="9"/>
        <v>35.545485530368126</v>
      </c>
      <c r="N43" s="74"/>
      <c r="O43" s="112"/>
      <c r="P43" s="112"/>
      <c r="Q43" s="112"/>
      <c r="R43" s="112"/>
    </row>
    <row r="44" spans="1:18">
      <c r="A44" s="175">
        <f>_xlfn.XLOOKUP(B44,'Global sales'!$K$3:$K$30,'Global sales'!$L$3:$L$30,0)</f>
        <v>12</v>
      </c>
      <c r="B44" s="79" t="s">
        <v>64</v>
      </c>
      <c r="C44" s="153">
        <f t="shared" si="2"/>
        <v>68.619787433906026</v>
      </c>
      <c r="D44" s="153">
        <f t="shared" si="3"/>
        <v>87.5</v>
      </c>
      <c r="E44" s="153">
        <f t="shared" si="10"/>
        <v>74.468085106382972</v>
      </c>
      <c r="F44" s="153">
        <f t="shared" si="11"/>
        <v>37.662337662337663</v>
      </c>
      <c r="G44" s="153">
        <f t="shared" si="12"/>
        <v>72.964169381107496</v>
      </c>
      <c r="H44" s="153">
        <f t="shared" si="13"/>
        <v>0</v>
      </c>
      <c r="I44" s="153">
        <f t="shared" si="13"/>
        <v>99.945777064365814</v>
      </c>
      <c r="J44" s="153">
        <f t="shared" si="13"/>
        <v>69.561791887532479</v>
      </c>
      <c r="K44" s="153">
        <f t="shared" si="13"/>
        <v>78.597576814151168</v>
      </c>
      <c r="L44" s="153">
        <f t="shared" si="13"/>
        <v>100</v>
      </c>
      <c r="M44" s="154">
        <f t="shared" si="9"/>
        <v>72.595919042339901</v>
      </c>
      <c r="N44" s="74"/>
      <c r="O44" s="112"/>
      <c r="P44" s="112"/>
      <c r="Q44" s="112"/>
      <c r="R44" s="112"/>
    </row>
    <row r="45" spans="1:18">
      <c r="A45" s="175">
        <f>_xlfn.XLOOKUP(B45,'Global sales'!$K$3:$K$30,'Global sales'!$L$3:$L$30,0)</f>
        <v>14</v>
      </c>
      <c r="B45" s="79" t="s">
        <v>61</v>
      </c>
      <c r="C45" s="153">
        <f t="shared" si="2"/>
        <v>100</v>
      </c>
      <c r="D45" s="153">
        <f t="shared" si="3"/>
        <v>37.5</v>
      </c>
      <c r="E45" s="153">
        <f t="shared" si="10"/>
        <v>100</v>
      </c>
      <c r="F45" s="153">
        <f t="shared" si="11"/>
        <v>100</v>
      </c>
      <c r="G45" s="153">
        <f t="shared" si="12"/>
        <v>100</v>
      </c>
      <c r="H45" s="153">
        <f t="shared" si="13"/>
        <v>0</v>
      </c>
      <c r="I45" s="153">
        <f t="shared" si="13"/>
        <v>100</v>
      </c>
      <c r="J45" s="153">
        <f t="shared" si="13"/>
        <v>100</v>
      </c>
      <c r="K45" s="153">
        <f t="shared" si="13"/>
        <v>100</v>
      </c>
      <c r="L45" s="153">
        <f t="shared" si="13"/>
        <v>100</v>
      </c>
      <c r="M45" s="154">
        <f t="shared" si="9"/>
        <v>82.916666666666671</v>
      </c>
      <c r="N45" s="74"/>
      <c r="O45" s="112"/>
      <c r="P45" s="112"/>
      <c r="Q45" s="112"/>
      <c r="R45" s="112"/>
    </row>
    <row r="46" spans="1:18">
      <c r="A46" s="175">
        <f>_xlfn.XLOOKUP(B46,'Global sales'!$K$3:$K$30,'Global sales'!$L$3:$L$30,0)</f>
        <v>20</v>
      </c>
      <c r="B46" s="79" t="s">
        <v>79</v>
      </c>
      <c r="C46" s="153">
        <f t="shared" si="2"/>
        <v>5.9159557927622615</v>
      </c>
      <c r="D46" s="153">
        <f t="shared" si="3"/>
        <v>25</v>
      </c>
      <c r="E46" s="153">
        <f t="shared" si="10"/>
        <v>87.2340425531915</v>
      </c>
      <c r="F46" s="153">
        <f t="shared" si="11"/>
        <v>2.5974025974025974</v>
      </c>
      <c r="G46" s="153">
        <f t="shared" si="12"/>
        <v>21.498371335504888</v>
      </c>
      <c r="H46" s="153">
        <f t="shared" si="13"/>
        <v>6.2908940646772091</v>
      </c>
      <c r="I46" s="153">
        <f t="shared" si="13"/>
        <v>87.089060343668706</v>
      </c>
      <c r="J46" s="153">
        <f t="shared" si="13"/>
        <v>51.894471708722556</v>
      </c>
      <c r="K46" s="153">
        <f t="shared" si="13"/>
        <v>18.023304680994883</v>
      </c>
      <c r="L46" s="153">
        <f t="shared" si="13"/>
        <v>0</v>
      </c>
      <c r="M46" s="154">
        <f t="shared" si="9"/>
        <v>26.568619179503084</v>
      </c>
      <c r="N46" s="74"/>
      <c r="O46" s="112"/>
      <c r="P46" s="112"/>
      <c r="Q46" s="112"/>
      <c r="R46" s="112"/>
    </row>
    <row r="47" spans="1:18">
      <c r="A47" s="175">
        <f>_xlfn.XLOOKUP(B47,'Global sales'!$K$3:$K$30,'Global sales'!$L$3:$L$30,0)</f>
        <v>17</v>
      </c>
      <c r="B47" s="79" t="s">
        <v>81</v>
      </c>
      <c r="C47" s="153">
        <f t="shared" si="2"/>
        <v>10.428618784597488</v>
      </c>
      <c r="D47" s="153">
        <f t="shared" si="3"/>
        <v>75</v>
      </c>
      <c r="E47" s="153">
        <f t="shared" si="10"/>
        <v>55.319148936170215</v>
      </c>
      <c r="F47" s="153">
        <f t="shared" si="11"/>
        <v>14.935064935064934</v>
      </c>
      <c r="G47" s="153">
        <f t="shared" si="12"/>
        <v>30.293159609120522</v>
      </c>
      <c r="H47" s="153">
        <f t="shared" si="13"/>
        <v>0</v>
      </c>
      <c r="I47" s="153">
        <f t="shared" si="13"/>
        <v>99.911653517422749</v>
      </c>
      <c r="J47" s="153">
        <f t="shared" si="13"/>
        <v>91.984846480045306</v>
      </c>
      <c r="K47" s="153">
        <f t="shared" si="13"/>
        <v>4.7740414520792775</v>
      </c>
      <c r="L47" s="153">
        <f t="shared" si="13"/>
        <v>0</v>
      </c>
      <c r="M47" s="154">
        <f t="shared" si="9"/>
        <v>38.353025811965324</v>
      </c>
      <c r="N47" s="74"/>
      <c r="O47" s="112"/>
      <c r="P47" s="112"/>
      <c r="Q47" s="112"/>
      <c r="R47" s="112"/>
    </row>
    <row r="48" spans="1:18">
      <c r="A48" s="175">
        <f>_xlfn.XLOOKUP(B48,'Global sales'!$K$3:$K$30,'Global sales'!$L$3:$L$30,0)</f>
        <v>28</v>
      </c>
      <c r="B48" s="79" t="s">
        <v>97</v>
      </c>
      <c r="C48" s="153">
        <f t="shared" si="2"/>
        <v>1.4406008333467815</v>
      </c>
      <c r="D48" s="153">
        <f t="shared" si="3"/>
        <v>12.5</v>
      </c>
      <c r="E48" s="153">
        <f t="shared" si="10"/>
        <v>0</v>
      </c>
      <c r="F48" s="153">
        <f t="shared" si="11"/>
        <v>18.831168831168831</v>
      </c>
      <c r="G48" s="153">
        <f t="shared" si="12"/>
        <v>2.9315960912052117</v>
      </c>
      <c r="H48" s="153">
        <f t="shared" si="13"/>
        <v>0</v>
      </c>
      <c r="I48" s="153">
        <f t="shared" si="13"/>
        <v>0</v>
      </c>
      <c r="J48" s="153">
        <f t="shared" si="13"/>
        <v>30.228232550492756</v>
      </c>
      <c r="K48" s="153">
        <f t="shared" si="13"/>
        <v>24.657582472862082</v>
      </c>
      <c r="L48" s="153">
        <f t="shared" si="13"/>
        <v>0</v>
      </c>
      <c r="M48" s="154">
        <f t="shared" si="9"/>
        <v>9.8727083585332718</v>
      </c>
      <c r="N48" s="74"/>
      <c r="O48" s="112"/>
      <c r="P48" s="112"/>
      <c r="Q48" s="112"/>
      <c r="R48" s="112"/>
    </row>
    <row r="49" spans="1:18">
      <c r="A49" s="175">
        <v>16</v>
      </c>
      <c r="B49" s="79" t="s">
        <v>90</v>
      </c>
      <c r="C49" s="153">
        <v>0</v>
      </c>
      <c r="D49" s="153">
        <v>0</v>
      </c>
      <c r="E49" s="153">
        <v>0</v>
      </c>
      <c r="F49" s="153">
        <v>0</v>
      </c>
      <c r="G49" s="153">
        <v>0</v>
      </c>
      <c r="H49" s="153">
        <v>0</v>
      </c>
      <c r="I49" s="153">
        <v>0</v>
      </c>
      <c r="J49" s="153">
        <v>0</v>
      </c>
      <c r="K49" s="153">
        <v>0</v>
      </c>
      <c r="L49" s="153">
        <v>0</v>
      </c>
      <c r="M49" s="153">
        <v>0</v>
      </c>
      <c r="N49" s="74"/>
      <c r="O49" s="112"/>
      <c r="P49" s="112"/>
      <c r="Q49" s="112"/>
      <c r="R49" s="112"/>
    </row>
    <row r="50" spans="1:18">
      <c r="A50" s="12"/>
      <c r="C50" s="76"/>
      <c r="D50" s="76"/>
      <c r="E50" s="76"/>
      <c r="F50" s="76"/>
      <c r="G50" s="76"/>
      <c r="H50" s="76"/>
      <c r="I50" s="76"/>
      <c r="J50" s="76"/>
      <c r="K50" s="76"/>
      <c r="L50" s="76"/>
      <c r="M50" s="77"/>
      <c r="Q50" s="112"/>
    </row>
    <row r="51" spans="1:18">
      <c r="A51" s="12"/>
      <c r="B51" s="292" t="s">
        <v>39</v>
      </c>
      <c r="C51" s="76"/>
      <c r="D51" s="76"/>
      <c r="E51" s="76"/>
      <c r="F51" s="76"/>
      <c r="G51" s="76"/>
      <c r="H51" s="76"/>
      <c r="I51" s="76"/>
      <c r="J51" s="76"/>
      <c r="K51" s="76"/>
      <c r="L51" s="76"/>
      <c r="M51" s="77"/>
      <c r="Q51" s="112"/>
    </row>
    <row r="52" spans="1:18" ht="34">
      <c r="A52" s="172" t="s">
        <v>126</v>
      </c>
      <c r="B52" s="221" t="s">
        <v>36</v>
      </c>
      <c r="C52" s="224" t="s">
        <v>103</v>
      </c>
      <c r="D52" s="225" t="s">
        <v>128</v>
      </c>
      <c r="E52" s="226" t="s">
        <v>129</v>
      </c>
      <c r="F52" s="228" t="s">
        <v>130</v>
      </c>
      <c r="G52" s="13" t="s">
        <v>131</v>
      </c>
      <c r="H52" s="76"/>
      <c r="I52" s="76"/>
      <c r="J52" s="76"/>
      <c r="K52" s="76"/>
      <c r="L52" s="76"/>
      <c r="M52" s="77"/>
      <c r="N52" s="112"/>
      <c r="O52" s="112"/>
      <c r="P52" s="112"/>
      <c r="Q52" s="112"/>
      <c r="R52" s="112"/>
    </row>
    <row r="53" spans="1:18">
      <c r="A53" s="175">
        <f>_xlfn.XLOOKUP(B53,'Global sales'!$K$3:$K$30,'Global sales'!$L$3:$L$30,0)</f>
        <v>1</v>
      </c>
      <c r="B53" s="79" t="s">
        <v>77</v>
      </c>
      <c r="C53" s="153">
        <f t="shared" ref="C53:C73" si="14">AVERAGE(C29:D29)</f>
        <v>31.598018969874808</v>
      </c>
      <c r="D53" s="153">
        <f t="shared" ref="D53:D73" si="15">AVERAGE(E29:I29)</f>
        <v>42.591093922335766</v>
      </c>
      <c r="E53" s="153">
        <f t="shared" ref="E53:E73" si="16">AVERAGE(J29:L29)</f>
        <v>15.259028491881866</v>
      </c>
      <c r="F53" s="153">
        <f>AVERAGE(C53:E53)</f>
        <v>29.816047128030814</v>
      </c>
      <c r="G53" s="79" t="s">
        <v>77</v>
      </c>
      <c r="H53" s="76"/>
      <c r="I53" s="76"/>
      <c r="J53" s="76"/>
      <c r="K53" s="76"/>
      <c r="L53" s="76"/>
      <c r="M53" s="77"/>
      <c r="N53" s="112"/>
      <c r="O53" s="112"/>
      <c r="P53" s="112"/>
      <c r="Q53" s="112"/>
      <c r="R53" s="112"/>
    </row>
    <row r="54" spans="1:18">
      <c r="A54" s="175">
        <f>_xlfn.XLOOKUP(B54,'Global sales'!$K$3:$K$30,'Global sales'!$L$3:$L$30,0)</f>
        <v>2</v>
      </c>
      <c r="B54" s="79" t="s">
        <v>69</v>
      </c>
      <c r="C54" s="153">
        <f t="shared" si="14"/>
        <v>48.532996224478602</v>
      </c>
      <c r="D54" s="153">
        <f t="shared" si="15"/>
        <v>63.098435090003512</v>
      </c>
      <c r="E54" s="153">
        <f t="shared" si="16"/>
        <v>36.924498243323562</v>
      </c>
      <c r="F54" s="153">
        <f t="shared" ref="F54:F72" si="17">AVERAGE(C54:E54)</f>
        <v>49.518643185935225</v>
      </c>
      <c r="G54" s="79" t="s">
        <v>69</v>
      </c>
      <c r="H54" s="76"/>
      <c r="I54" s="76"/>
      <c r="J54" s="76"/>
      <c r="K54" s="76"/>
      <c r="L54" s="76"/>
      <c r="M54" s="77"/>
      <c r="N54" s="112"/>
      <c r="O54" s="112"/>
      <c r="P54" s="112"/>
      <c r="Q54" s="112"/>
      <c r="R54" s="112"/>
    </row>
    <row r="55" spans="1:18">
      <c r="A55" s="175">
        <f>_xlfn.XLOOKUP(B55,'Global sales'!$K$3:$K$30,'Global sales'!$L$3:$L$30,0)</f>
        <v>18</v>
      </c>
      <c r="B55" s="79" t="s">
        <v>84</v>
      </c>
      <c r="C55" s="153">
        <f t="shared" si="14"/>
        <v>35.156849330944731</v>
      </c>
      <c r="D55" s="153">
        <f t="shared" si="15"/>
        <v>58.29778640168761</v>
      </c>
      <c r="E55" s="153">
        <f t="shared" si="16"/>
        <v>19.722482474871892</v>
      </c>
      <c r="F55" s="153">
        <f t="shared" si="17"/>
        <v>37.725706069168076</v>
      </c>
      <c r="G55" s="79" t="s">
        <v>109</v>
      </c>
      <c r="H55" s="76"/>
      <c r="I55" s="76"/>
      <c r="J55" s="76"/>
      <c r="K55" s="76"/>
      <c r="L55" s="76"/>
      <c r="M55" s="77"/>
      <c r="N55" s="112"/>
      <c r="O55" s="112"/>
      <c r="P55" s="112"/>
      <c r="Q55" s="112"/>
      <c r="R55" s="112"/>
    </row>
    <row r="56" spans="1:18">
      <c r="A56" s="175">
        <f>_xlfn.XLOOKUP(B56,'Global sales'!$K$3:$K$30,'Global sales'!$L$3:$L$30,0)</f>
        <v>4</v>
      </c>
      <c r="B56" s="79" t="s">
        <v>74</v>
      </c>
      <c r="C56" s="153">
        <f t="shared" si="14"/>
        <v>47.858832933527971</v>
      </c>
      <c r="D56" s="153">
        <f t="shared" si="15"/>
        <v>38.035713999116219</v>
      </c>
      <c r="E56" s="153">
        <f t="shared" si="16"/>
        <v>63.291443965184023</v>
      </c>
      <c r="F56" s="153">
        <f t="shared" si="17"/>
        <v>49.728663632609404</v>
      </c>
      <c r="G56" s="79" t="s">
        <v>74</v>
      </c>
      <c r="H56" s="76"/>
      <c r="I56" s="76"/>
      <c r="J56" s="76"/>
      <c r="K56" s="76"/>
      <c r="L56" s="76"/>
      <c r="M56" s="77"/>
      <c r="N56" s="112"/>
      <c r="O56" s="112"/>
      <c r="P56" s="112"/>
      <c r="Q56" s="112"/>
      <c r="R56" s="112"/>
    </row>
    <row r="57" spans="1:18">
      <c r="A57" s="175">
        <f>_xlfn.XLOOKUP(B57,'Global sales'!$K$3:$K$30,'Global sales'!$L$3:$L$30,0)</f>
        <v>5</v>
      </c>
      <c r="B57" s="79" t="s">
        <v>89</v>
      </c>
      <c r="C57" s="153">
        <f t="shared" si="14"/>
        <v>18.970961375759082</v>
      </c>
      <c r="D57" s="153">
        <f t="shared" si="15"/>
        <v>32.218228200921295</v>
      </c>
      <c r="E57" s="153">
        <f t="shared" si="16"/>
        <v>32.222242060287464</v>
      </c>
      <c r="F57" s="153">
        <f t="shared" si="17"/>
        <v>27.803810545655949</v>
      </c>
      <c r="G57" s="79" t="s">
        <v>89</v>
      </c>
      <c r="H57" s="76"/>
      <c r="I57" s="76"/>
      <c r="J57" s="76"/>
      <c r="K57" s="76"/>
      <c r="L57" s="76"/>
      <c r="M57" s="77"/>
      <c r="N57" s="112"/>
      <c r="O57" s="112"/>
      <c r="P57" s="112"/>
      <c r="Q57" s="112"/>
      <c r="R57" s="112"/>
    </row>
    <row r="58" spans="1:18">
      <c r="A58" s="175">
        <f>_xlfn.XLOOKUP(B58,'Global sales'!$K$3:$K$30,'Global sales'!$L$3:$L$30,0)</f>
        <v>3</v>
      </c>
      <c r="B58" s="79" t="s">
        <v>70</v>
      </c>
      <c r="C58" s="153">
        <f t="shared" si="14"/>
        <v>19.934162199090402</v>
      </c>
      <c r="D58" s="153">
        <f t="shared" si="15"/>
        <v>51.968373844351405</v>
      </c>
      <c r="E58" s="153">
        <f t="shared" si="16"/>
        <v>62.897248130630622</v>
      </c>
      <c r="F58" s="153">
        <f t="shared" si="17"/>
        <v>44.933261391357483</v>
      </c>
      <c r="G58" s="79" t="s">
        <v>70</v>
      </c>
      <c r="H58" s="76"/>
      <c r="I58" s="76"/>
      <c r="J58" s="76"/>
      <c r="K58" s="76"/>
      <c r="L58" s="76"/>
      <c r="M58" s="77"/>
      <c r="N58" s="112"/>
      <c r="O58" s="112"/>
      <c r="P58" s="112"/>
      <c r="Q58" s="112"/>
      <c r="R58" s="112"/>
    </row>
    <row r="59" spans="1:18">
      <c r="A59" s="175">
        <f>_xlfn.XLOOKUP(B59,'Global sales'!$K$3:$K$30,'Global sales'!$L$3:$L$30,0)</f>
        <v>6</v>
      </c>
      <c r="B59" s="79" t="s">
        <v>80</v>
      </c>
      <c r="C59" s="153">
        <f t="shared" si="14"/>
        <v>14.360488345155737</v>
      </c>
      <c r="D59" s="153">
        <f t="shared" si="15"/>
        <v>54.839965875627534</v>
      </c>
      <c r="E59" s="153">
        <f t="shared" si="16"/>
        <v>44.069798859050877</v>
      </c>
      <c r="F59" s="153">
        <f t="shared" si="17"/>
        <v>37.756751026611383</v>
      </c>
      <c r="G59" s="79" t="s">
        <v>80</v>
      </c>
      <c r="H59" s="112"/>
      <c r="I59" s="112"/>
      <c r="J59" s="112"/>
      <c r="K59" s="112"/>
      <c r="L59" s="112"/>
      <c r="N59" s="112"/>
      <c r="O59" s="112"/>
      <c r="P59" s="112"/>
      <c r="Q59" s="112"/>
      <c r="R59" s="112"/>
    </row>
    <row r="60" spans="1:18">
      <c r="A60" s="175">
        <f>_xlfn.XLOOKUP(B60,'Global sales'!$K$3:$K$30,'Global sales'!$L$3:$L$30,0)</f>
        <v>8</v>
      </c>
      <c r="B60" s="79" t="s">
        <v>91</v>
      </c>
      <c r="C60" s="153">
        <f t="shared" si="14"/>
        <v>33.137810588979107</v>
      </c>
      <c r="D60" s="153">
        <f t="shared" si="15"/>
        <v>18.154457561608066</v>
      </c>
      <c r="E60" s="153">
        <f t="shared" si="16"/>
        <v>30.775646784275096</v>
      </c>
      <c r="F60" s="153">
        <f t="shared" si="17"/>
        <v>27.355971644954092</v>
      </c>
      <c r="G60" s="79" t="s">
        <v>91</v>
      </c>
      <c r="H60" s="112"/>
      <c r="I60" s="112"/>
      <c r="J60" s="112"/>
      <c r="K60" s="112"/>
      <c r="L60" s="112"/>
      <c r="N60" s="112"/>
      <c r="O60" s="112"/>
      <c r="P60" s="112"/>
      <c r="Q60" s="112"/>
      <c r="R60" s="112"/>
    </row>
    <row r="61" spans="1:18">
      <c r="A61" s="175">
        <f>_xlfn.XLOOKUP(B61,'Global sales'!$K$3:$K$30,'Global sales'!$L$3:$L$30,0)</f>
        <v>7</v>
      </c>
      <c r="B61" s="79" t="s">
        <v>99</v>
      </c>
      <c r="C61" s="153">
        <f t="shared" si="14"/>
        <v>0</v>
      </c>
      <c r="D61" s="153">
        <f t="shared" si="15"/>
        <v>0</v>
      </c>
      <c r="E61" s="153">
        <f t="shared" si="16"/>
        <v>0</v>
      </c>
      <c r="F61" s="153">
        <f t="shared" si="17"/>
        <v>0</v>
      </c>
      <c r="G61" s="79" t="s">
        <v>99</v>
      </c>
      <c r="H61" s="112"/>
      <c r="I61" s="112"/>
      <c r="J61" s="112"/>
      <c r="K61" s="112"/>
      <c r="L61" s="112"/>
      <c r="N61" s="112"/>
      <c r="O61" s="112"/>
      <c r="P61" s="112"/>
      <c r="Q61" s="112"/>
      <c r="R61" s="112"/>
    </row>
    <row r="62" spans="1:18">
      <c r="A62" s="175">
        <f>_xlfn.XLOOKUP(B62,'Global sales'!$K$3:$K$30,'Global sales'!$L$3:$L$30,0)</f>
        <v>9</v>
      </c>
      <c r="B62" s="79" t="s">
        <v>65</v>
      </c>
      <c r="C62" s="153">
        <f t="shared" si="14"/>
        <v>31.1131874914444</v>
      </c>
      <c r="D62" s="153">
        <f t="shared" si="15"/>
        <v>78.499061275387831</v>
      </c>
      <c r="E62" s="153">
        <f t="shared" si="16"/>
        <v>57.27121525920662</v>
      </c>
      <c r="F62" s="153">
        <f t="shared" si="17"/>
        <v>55.627821342012957</v>
      </c>
      <c r="G62" s="79" t="s">
        <v>65</v>
      </c>
      <c r="H62" s="112"/>
      <c r="I62" s="112"/>
      <c r="J62" s="112"/>
      <c r="K62" s="112"/>
      <c r="L62" s="112"/>
      <c r="N62" s="112"/>
      <c r="O62" s="112"/>
      <c r="P62" s="112"/>
      <c r="Q62" s="112"/>
      <c r="R62" s="112"/>
    </row>
    <row r="63" spans="1:18">
      <c r="A63" s="175">
        <f>_xlfn.XLOOKUP(B63,'Global sales'!$K$3:$K$30,'Global sales'!$L$3:$L$30,0)</f>
        <v>15</v>
      </c>
      <c r="B63" s="79" t="s">
        <v>68</v>
      </c>
      <c r="C63" s="153">
        <f t="shared" si="14"/>
        <v>65.380060986012126</v>
      </c>
      <c r="D63" s="153">
        <f t="shared" si="15"/>
        <v>27.872305346987343</v>
      </c>
      <c r="E63" s="153">
        <f t="shared" si="16"/>
        <v>39.110750997661931</v>
      </c>
      <c r="F63" s="153">
        <f t="shared" si="17"/>
        <v>44.121039110220465</v>
      </c>
      <c r="G63" s="79" t="s">
        <v>68</v>
      </c>
      <c r="H63" s="112"/>
      <c r="I63" s="112"/>
      <c r="J63" s="112"/>
      <c r="K63" s="112"/>
      <c r="L63" s="112"/>
      <c r="N63" s="112"/>
      <c r="O63" s="112"/>
      <c r="P63" s="112"/>
      <c r="Q63" s="112"/>
      <c r="R63" s="112"/>
    </row>
    <row r="64" spans="1:18">
      <c r="A64" s="175">
        <f>_xlfn.XLOOKUP(B64,'Global sales'!$K$3:$K$30,'Global sales'!$L$3:$L$30,0)</f>
        <v>10</v>
      </c>
      <c r="B64" s="79" t="s">
        <v>71</v>
      </c>
      <c r="C64" s="153">
        <f t="shared" si="14"/>
        <v>36.422732404883213</v>
      </c>
      <c r="D64" s="153">
        <f t="shared" si="15"/>
        <v>52.522728896654471</v>
      </c>
      <c r="E64" s="153">
        <f t="shared" si="16"/>
        <v>47.435595662569028</v>
      </c>
      <c r="F64" s="153">
        <f t="shared" si="17"/>
        <v>45.460352321368902</v>
      </c>
      <c r="G64" s="79" t="s">
        <v>71</v>
      </c>
      <c r="H64" s="112"/>
      <c r="I64" s="112"/>
      <c r="J64" s="112"/>
      <c r="K64" s="112"/>
      <c r="L64" s="112"/>
      <c r="N64" s="112"/>
      <c r="O64" s="112"/>
      <c r="P64" s="112"/>
      <c r="Q64" s="112"/>
      <c r="R64" s="112"/>
    </row>
    <row r="65" spans="1:18">
      <c r="A65" s="175">
        <f>_xlfn.XLOOKUP(B65,'Global sales'!$K$3:$K$30,'Global sales'!$L$3:$L$30,0)</f>
        <v>19</v>
      </c>
      <c r="B65" s="79" t="s">
        <v>72</v>
      </c>
      <c r="C65" s="153">
        <f t="shared" si="14"/>
        <v>55.084065513360315</v>
      </c>
      <c r="D65" s="153">
        <f t="shared" si="15"/>
        <v>50.79772724408236</v>
      </c>
      <c r="E65" s="153">
        <f t="shared" si="16"/>
        <v>39.011779139015964</v>
      </c>
      <c r="F65" s="153">
        <f t="shared" si="17"/>
        <v>48.297857298819544</v>
      </c>
      <c r="G65" s="79" t="s">
        <v>72</v>
      </c>
      <c r="H65" s="112"/>
      <c r="I65" s="112"/>
      <c r="J65" s="112"/>
      <c r="K65" s="112"/>
      <c r="L65" s="112"/>
      <c r="N65" s="112"/>
      <c r="O65" s="112"/>
      <c r="P65" s="112"/>
      <c r="Q65" s="112"/>
      <c r="R65" s="112"/>
    </row>
    <row r="66" spans="1:18">
      <c r="A66" s="175">
        <f>_xlfn.XLOOKUP(B66,'Global sales'!$K$3:$K$30,'Global sales'!$L$3:$L$30,0)</f>
        <v>13</v>
      </c>
      <c r="B66" s="79" t="s">
        <v>82</v>
      </c>
      <c r="C66" s="153">
        <f t="shared" si="14"/>
        <v>43.064332932016178</v>
      </c>
      <c r="D66" s="153">
        <f t="shared" si="15"/>
        <v>36.754490080416858</v>
      </c>
      <c r="E66" s="153">
        <f t="shared" si="16"/>
        <v>53.165949346085803</v>
      </c>
      <c r="F66" s="153">
        <f t="shared" si="17"/>
        <v>44.328257452839608</v>
      </c>
      <c r="G66" s="79" t="s">
        <v>82</v>
      </c>
      <c r="H66" s="112"/>
      <c r="I66" s="112"/>
      <c r="J66" s="112"/>
      <c r="K66" s="112"/>
      <c r="L66" s="112"/>
      <c r="N66" s="112"/>
      <c r="O66" s="112"/>
      <c r="P66" s="112"/>
      <c r="Q66" s="112"/>
      <c r="R66" s="112"/>
    </row>
    <row r="67" spans="1:18">
      <c r="A67" s="175">
        <f>_xlfn.XLOOKUP(B67,'Global sales'!$K$3:$K$30,'Global sales'!$L$3:$L$30,0)</f>
        <v>11</v>
      </c>
      <c r="B67" s="79" t="s">
        <v>76</v>
      </c>
      <c r="C67" s="153">
        <f t="shared" si="14"/>
        <v>51.881636401642908</v>
      </c>
      <c r="D67" s="153">
        <f t="shared" si="15"/>
        <v>13.493892620651232</v>
      </c>
      <c r="E67" s="153">
        <f t="shared" si="16"/>
        <v>41.260927568810239</v>
      </c>
      <c r="F67" s="153">
        <f t="shared" si="17"/>
        <v>35.545485530368126</v>
      </c>
      <c r="G67" s="79" t="s">
        <v>108</v>
      </c>
      <c r="H67" s="112"/>
      <c r="I67" s="112"/>
      <c r="J67" s="112"/>
      <c r="K67" s="112"/>
      <c r="L67" s="112"/>
      <c r="N67" s="112"/>
      <c r="O67" s="112"/>
      <c r="P67" s="112"/>
      <c r="Q67" s="112"/>
      <c r="R67" s="112"/>
    </row>
    <row r="68" spans="1:18">
      <c r="A68" s="175">
        <f>_xlfn.XLOOKUP(B68,'Global sales'!$K$3:$K$30,'Global sales'!$L$3:$L$30,0)</f>
        <v>12</v>
      </c>
      <c r="B68" s="79" t="s">
        <v>115</v>
      </c>
      <c r="C68" s="153">
        <f t="shared" si="14"/>
        <v>78.059893716953013</v>
      </c>
      <c r="D68" s="153">
        <f t="shared" si="15"/>
        <v>57.00807384283879</v>
      </c>
      <c r="E68" s="153">
        <f t="shared" si="16"/>
        <v>82.719789567227892</v>
      </c>
      <c r="F68" s="153">
        <f t="shared" si="17"/>
        <v>72.595919042339901</v>
      </c>
      <c r="G68" s="79" t="s">
        <v>64</v>
      </c>
      <c r="H68" s="112"/>
      <c r="I68" s="112"/>
      <c r="J68" s="112"/>
      <c r="K68" s="112"/>
      <c r="L68" s="112"/>
      <c r="N68" s="112"/>
      <c r="O68" s="112"/>
      <c r="P68" s="112"/>
      <c r="Q68" s="112"/>
      <c r="R68" s="112"/>
    </row>
    <row r="69" spans="1:18">
      <c r="A69" s="175">
        <f>_xlfn.XLOOKUP(B69,'Global sales'!$K$3:$K$30,'Global sales'!$L$3:$L$30,0)</f>
        <v>14</v>
      </c>
      <c r="B69" s="79" t="s">
        <v>61</v>
      </c>
      <c r="C69" s="153">
        <f t="shared" si="14"/>
        <v>68.75</v>
      </c>
      <c r="D69" s="153">
        <f t="shared" si="15"/>
        <v>80</v>
      </c>
      <c r="E69" s="153">
        <f t="shared" si="16"/>
        <v>100</v>
      </c>
      <c r="F69" s="153">
        <f t="shared" si="17"/>
        <v>82.916666666666671</v>
      </c>
      <c r="G69" s="79" t="s">
        <v>61</v>
      </c>
      <c r="H69" s="112"/>
      <c r="I69" s="112"/>
      <c r="J69" s="112"/>
      <c r="K69" s="112"/>
      <c r="L69" s="112"/>
      <c r="N69" s="112"/>
      <c r="O69" s="112"/>
      <c r="P69" s="112"/>
      <c r="Q69" s="112"/>
      <c r="R69" s="112"/>
    </row>
    <row r="70" spans="1:18">
      <c r="A70" s="175">
        <f>_xlfn.XLOOKUP(B70,'Global sales'!$K$3:$K$30,'Global sales'!$L$3:$L$30,0)</f>
        <v>20</v>
      </c>
      <c r="B70" s="79" t="s">
        <v>79</v>
      </c>
      <c r="C70" s="153">
        <f t="shared" si="14"/>
        <v>15.457977896381131</v>
      </c>
      <c r="D70" s="153">
        <f t="shared" si="15"/>
        <v>40.941954178888977</v>
      </c>
      <c r="E70" s="153">
        <f t="shared" si="16"/>
        <v>23.305925463239145</v>
      </c>
      <c r="F70" s="153">
        <f t="shared" si="17"/>
        <v>26.568619179503084</v>
      </c>
      <c r="G70" s="79" t="s">
        <v>79</v>
      </c>
      <c r="H70" s="112"/>
      <c r="I70" s="112"/>
      <c r="J70" s="112"/>
      <c r="K70" s="112"/>
      <c r="L70" s="112"/>
      <c r="N70" s="112"/>
      <c r="O70" s="112"/>
      <c r="P70" s="112"/>
      <c r="Q70" s="112"/>
      <c r="R70" s="112"/>
    </row>
    <row r="71" spans="1:18">
      <c r="A71" s="175">
        <f>_xlfn.XLOOKUP(B71,'Global sales'!$K$3:$K$30,'Global sales'!$L$3:$L$30,0)</f>
        <v>17</v>
      </c>
      <c r="B71" s="79" t="s">
        <v>81</v>
      </c>
      <c r="C71" s="153">
        <f t="shared" si="14"/>
        <v>42.714309392298745</v>
      </c>
      <c r="D71" s="153">
        <f t="shared" si="15"/>
        <v>40.091805399555689</v>
      </c>
      <c r="E71" s="153">
        <f t="shared" si="16"/>
        <v>32.252962644041524</v>
      </c>
      <c r="F71" s="153">
        <f t="shared" si="17"/>
        <v>38.353025811965324</v>
      </c>
      <c r="G71" s="79" t="s">
        <v>81</v>
      </c>
      <c r="H71" s="112"/>
      <c r="I71" s="112"/>
      <c r="J71" s="112"/>
      <c r="K71" s="112"/>
      <c r="L71" s="112"/>
      <c r="N71" s="112"/>
      <c r="O71" s="112"/>
      <c r="P71" s="112"/>
      <c r="Q71" s="112"/>
      <c r="R71" s="112"/>
    </row>
    <row r="72" spans="1:18">
      <c r="A72" s="175">
        <f>_xlfn.XLOOKUP(B72,'Global sales'!$K$3:$K$30,'Global sales'!$L$3:$L$30,0)</f>
        <v>28</v>
      </c>
      <c r="B72" s="79" t="s">
        <v>97</v>
      </c>
      <c r="C72" s="153">
        <f t="shared" si="14"/>
        <v>6.9703004166733908</v>
      </c>
      <c r="D72" s="153">
        <f t="shared" si="15"/>
        <v>4.3525529844748085</v>
      </c>
      <c r="E72" s="153">
        <f t="shared" si="16"/>
        <v>18.295271674451612</v>
      </c>
      <c r="F72" s="153">
        <f t="shared" si="17"/>
        <v>9.8727083585332718</v>
      </c>
      <c r="G72" s="79" t="s">
        <v>97</v>
      </c>
      <c r="H72" s="112"/>
      <c r="I72" s="112"/>
      <c r="J72" s="112"/>
      <c r="K72" s="112"/>
      <c r="L72" s="112"/>
      <c r="N72" s="112"/>
    </row>
    <row r="73" spans="1:18">
      <c r="A73" s="175">
        <f>_xlfn.XLOOKUP(B73,'Global sales'!$K$3:$K$30,'Global sales'!$L$3:$L$30,0)</f>
        <v>16</v>
      </c>
      <c r="B73" s="79" t="s">
        <v>90</v>
      </c>
      <c r="C73" s="153">
        <f t="shared" si="14"/>
        <v>0</v>
      </c>
      <c r="D73" s="153">
        <f t="shared" si="15"/>
        <v>0</v>
      </c>
      <c r="E73" s="153">
        <f t="shared" si="16"/>
        <v>0</v>
      </c>
      <c r="F73" s="153">
        <f>AVERAGE(C73:E73)</f>
        <v>0</v>
      </c>
      <c r="G73" s="79" t="s">
        <v>90</v>
      </c>
      <c r="H73" s="112"/>
      <c r="I73" s="112"/>
      <c r="J73" s="112"/>
      <c r="K73" s="112"/>
      <c r="L73" s="112"/>
      <c r="N73" s="112"/>
    </row>
    <row r="74" spans="1:18">
      <c r="H74" s="112"/>
      <c r="I74" s="112"/>
      <c r="J74" s="112"/>
      <c r="K74" s="112"/>
      <c r="L74" s="112"/>
    </row>
  </sheetData>
  <sheetProtection algorithmName="SHA-512" hashValue="gU9w7Q5i5VshKeYZU68e6drjl+erXkQA4EOm4U8M5Ia0ynyRAHzD828ToLEQ3SowhB/7DbHAt/+GGkh2aCswHw==" saltValue="IECZQFU6IWkbJ3YD4B/hpA==" spinCount="100000" sheet="1" objects="1" scenarios="1" selectLockedCells="1" selectUnlockedCells="1"/>
  <phoneticPr fontId="2" type="noConversion"/>
  <pageMargins left="0.7" right="0.7" top="0.75" bottom="0.75" header="0.3" footer="0.3"/>
  <ignoredErrors>
    <ignoredError sqref="C73:E7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21C54-D518-D349-8B79-94827BD82E20}">
  <sheetPr>
    <tabColor theme="6" tint="0.39997558519241921"/>
  </sheetPr>
  <dimension ref="A1:AD304"/>
  <sheetViews>
    <sheetView zoomScale="98" zoomScaleNormal="98" workbookViewId="0">
      <selection activeCell="C6" sqref="C6"/>
    </sheetView>
  </sheetViews>
  <sheetFormatPr baseColWidth="10" defaultColWidth="11" defaultRowHeight="16"/>
  <cols>
    <col min="1" max="1" width="15.5" customWidth="1"/>
    <col min="2" max="2" width="16" customWidth="1"/>
    <col min="3" max="3" width="14.83203125" customWidth="1"/>
    <col min="4" max="19" width="14.1640625" customWidth="1"/>
    <col min="20" max="22" width="12.83203125" customWidth="1"/>
    <col min="23" max="23" width="18.6640625" customWidth="1"/>
    <col min="24" max="26" width="12.83203125" customWidth="1"/>
    <col min="27" max="28" width="15.83203125" bestFit="1" customWidth="1"/>
    <col min="29" max="29" width="13.1640625" customWidth="1"/>
    <col min="30" max="30" width="15.6640625" bestFit="1" customWidth="1"/>
  </cols>
  <sheetData>
    <row r="1" spans="1:30">
      <c r="A1" s="501" t="s">
        <v>31</v>
      </c>
      <c r="B1" s="500" t="s">
        <v>132</v>
      </c>
      <c r="C1" s="500"/>
      <c r="D1" s="500"/>
      <c r="E1" s="500"/>
      <c r="F1" s="500"/>
      <c r="G1" s="500"/>
      <c r="H1" s="500"/>
      <c r="K1" s="182" t="s">
        <v>133</v>
      </c>
      <c r="L1" s="183"/>
      <c r="M1" s="184"/>
      <c r="W1" s="1"/>
    </row>
    <row r="2" spans="1:30">
      <c r="A2" s="501"/>
      <c r="B2" s="17" t="s">
        <v>134</v>
      </c>
      <c r="C2" s="17" t="s">
        <v>135</v>
      </c>
      <c r="D2" s="17" t="s">
        <v>136</v>
      </c>
      <c r="E2" s="17" t="s">
        <v>137</v>
      </c>
      <c r="F2" s="17" t="s">
        <v>138</v>
      </c>
      <c r="G2" s="17" t="s">
        <v>139</v>
      </c>
      <c r="H2" s="17" t="s">
        <v>140</v>
      </c>
      <c r="K2" s="183" t="s">
        <v>31</v>
      </c>
      <c r="L2" s="183" t="s">
        <v>102</v>
      </c>
      <c r="M2" s="184"/>
    </row>
    <row r="3" spans="1:30">
      <c r="A3" s="79" t="s">
        <v>77</v>
      </c>
      <c r="B3" s="159">
        <f>_xlfn.XLOOKUP(A3,$B$35:$B$61,$D$35:$D$61)</f>
        <v>1880600</v>
      </c>
      <c r="C3" s="159">
        <f>_xlfn.XLOOKUP(A3,$B$35:$B$61,$E$35:$E$61)</f>
        <v>987044</v>
      </c>
      <c r="D3" s="159">
        <f>_xlfn.XLOOKUP(A3,$B$35:$B$61,$F$35:$F$61)</f>
        <v>2248477</v>
      </c>
      <c r="E3" s="159">
        <f>_xlfn.XLOOKUP(A3,$B$35:$B$61,$G$35:$G$61)</f>
        <v>2249950</v>
      </c>
      <c r="F3" s="159">
        <f>_xlfn.XLOOKUP(A3,$B$35:$B$61,$H$35:$H$61)</f>
        <v>222447</v>
      </c>
      <c r="G3" s="159">
        <f>_xlfn.XLOOKUP(A3,$B$35:$B$61,$I$35:$I$61)</f>
        <v>22056</v>
      </c>
      <c r="H3" s="159">
        <f>SUM(B3:G3)</f>
        <v>7610574</v>
      </c>
      <c r="I3" s="66"/>
      <c r="K3" s="185" t="s">
        <v>77</v>
      </c>
      <c r="L3" s="186">
        <v>1</v>
      </c>
      <c r="M3" s="184"/>
      <c r="AD3" s="46"/>
    </row>
    <row r="4" spans="1:30">
      <c r="A4" s="79" t="s">
        <v>69</v>
      </c>
      <c r="B4" s="159">
        <f t="shared" ref="B4:B23" si="0">_xlfn.XLOOKUP(A4,$B$35:$B$61,$D$35:$D$61)</f>
        <v>3155540</v>
      </c>
      <c r="C4" s="159">
        <f t="shared" ref="C4:C23" si="1">_xlfn.XLOOKUP(A4,$B$35:$B$61,$E$35:$E$61)</f>
        <v>3527203</v>
      </c>
      <c r="D4" s="159">
        <f t="shared" ref="D4:D23" si="2">_xlfn.XLOOKUP(A4,$B$35:$B$61,$F$35:$F$61)</f>
        <v>639648</v>
      </c>
      <c r="E4" s="159">
        <f t="shared" ref="E4:E23" si="3">_xlfn.XLOOKUP(A4,$B$35:$B$61,$G$35:$G$61)</f>
        <v>65805</v>
      </c>
      <c r="F4" s="159">
        <f t="shared" ref="F4:F23" si="4">_xlfn.XLOOKUP(A4,$B$35:$B$61,$H$35:$H$61)</f>
        <v>101086</v>
      </c>
      <c r="G4" s="159">
        <f t="shared" ref="G4:G23" si="5">_xlfn.XLOOKUP(A4,$B$35:$B$61,$I$35:$I$61)</f>
        <v>40711</v>
      </c>
      <c r="H4" s="159">
        <f t="shared" ref="H4:H23" si="6">SUM(B4:G4)</f>
        <v>7529993</v>
      </c>
      <c r="I4" s="66"/>
      <c r="K4" s="185" t="s">
        <v>69</v>
      </c>
      <c r="L4" s="186">
        <v>2</v>
      </c>
      <c r="M4" s="184"/>
      <c r="AD4" s="46"/>
    </row>
    <row r="5" spans="1:30">
      <c r="A5" s="79" t="s">
        <v>92</v>
      </c>
      <c r="B5" s="159">
        <f t="shared" si="0"/>
        <v>315594</v>
      </c>
      <c r="C5" s="159">
        <f t="shared" si="1"/>
        <v>1096027</v>
      </c>
      <c r="D5" s="159">
        <f t="shared" si="2"/>
        <v>1652821</v>
      </c>
      <c r="E5" s="159">
        <f t="shared" si="3"/>
        <v>493</v>
      </c>
      <c r="F5" s="159">
        <f t="shared" si="4"/>
        <v>857109</v>
      </c>
      <c r="G5" s="159">
        <f t="shared" si="5"/>
        <v>1161492</v>
      </c>
      <c r="H5" s="159">
        <f t="shared" si="6"/>
        <v>5083536</v>
      </c>
      <c r="I5" s="66"/>
      <c r="K5" s="185" t="s">
        <v>70</v>
      </c>
      <c r="L5" s="186">
        <v>3</v>
      </c>
      <c r="M5" s="184"/>
      <c r="AD5" s="46"/>
    </row>
    <row r="6" spans="1:30">
      <c r="A6" s="79" t="s">
        <v>74</v>
      </c>
      <c r="B6" s="159">
        <f t="shared" si="0"/>
        <v>82351</v>
      </c>
      <c r="C6" s="159">
        <f t="shared" si="1"/>
        <v>2681868</v>
      </c>
      <c r="D6" s="159">
        <f t="shared" si="2"/>
        <v>1534787</v>
      </c>
      <c r="E6" s="159">
        <f t="shared" si="3"/>
        <v>35654</v>
      </c>
      <c r="F6" s="159">
        <f t="shared" si="4"/>
        <v>16117</v>
      </c>
      <c r="G6" s="159">
        <f t="shared" si="5"/>
        <v>7125</v>
      </c>
      <c r="H6" s="159">
        <f t="shared" si="6"/>
        <v>4357902</v>
      </c>
      <c r="I6" s="66"/>
      <c r="K6" s="185" t="s">
        <v>74</v>
      </c>
      <c r="L6" s="186">
        <v>4</v>
      </c>
      <c r="M6" s="184"/>
      <c r="AD6" s="46"/>
    </row>
    <row r="7" spans="1:30">
      <c r="A7" s="79" t="s">
        <v>89</v>
      </c>
      <c r="B7" s="159">
        <f t="shared" si="0"/>
        <v>1207184</v>
      </c>
      <c r="C7" s="159">
        <f t="shared" si="1"/>
        <v>60960</v>
      </c>
      <c r="D7" s="159">
        <f t="shared" si="2"/>
        <v>1308186</v>
      </c>
      <c r="E7" s="159">
        <f t="shared" si="3"/>
        <v>594285</v>
      </c>
      <c r="F7" s="159">
        <f t="shared" si="4"/>
        <v>84289</v>
      </c>
      <c r="G7" s="159">
        <f t="shared" si="5"/>
        <v>1385</v>
      </c>
      <c r="H7" s="159">
        <f t="shared" si="6"/>
        <v>3256289</v>
      </c>
      <c r="I7" s="66"/>
      <c r="K7" s="185" t="s">
        <v>89</v>
      </c>
      <c r="L7" s="186">
        <v>5</v>
      </c>
      <c r="M7" s="184"/>
      <c r="AD7" s="46"/>
    </row>
    <row r="8" spans="1:30">
      <c r="A8" s="79" t="s">
        <v>80</v>
      </c>
      <c r="B8" s="159">
        <f t="shared" si="0"/>
        <v>255328</v>
      </c>
      <c r="C8" s="159">
        <f t="shared" si="1"/>
        <v>863422</v>
      </c>
      <c r="D8" s="159">
        <f t="shared" si="2"/>
        <v>1981332</v>
      </c>
      <c r="E8" s="159">
        <f t="shared" si="3"/>
        <v>299</v>
      </c>
      <c r="F8" s="159">
        <f t="shared" si="4"/>
        <v>0</v>
      </c>
      <c r="G8" s="159">
        <f t="shared" si="5"/>
        <v>5108</v>
      </c>
      <c r="H8" s="159">
        <f t="shared" si="6"/>
        <v>3105489</v>
      </c>
      <c r="I8" s="66"/>
      <c r="K8" s="185" t="s">
        <v>88</v>
      </c>
      <c r="L8" s="186">
        <v>6</v>
      </c>
      <c r="M8" s="184"/>
      <c r="AD8" s="46"/>
    </row>
    <row r="9" spans="1:30">
      <c r="A9" s="79" t="s">
        <v>70</v>
      </c>
      <c r="B9" s="159">
        <f t="shared" si="0"/>
        <v>872530</v>
      </c>
      <c r="C9" s="159">
        <f t="shared" si="1"/>
        <v>2056</v>
      </c>
      <c r="D9" s="159">
        <f t="shared" si="2"/>
        <v>2577662</v>
      </c>
      <c r="E9" s="159">
        <f t="shared" si="3"/>
        <v>1366</v>
      </c>
      <c r="F9" s="159">
        <f t="shared" si="4"/>
        <v>0</v>
      </c>
      <c r="G9" s="159">
        <f t="shared" si="5"/>
        <v>39730</v>
      </c>
      <c r="H9" s="159">
        <f t="shared" si="6"/>
        <v>3493344</v>
      </c>
      <c r="I9" s="66"/>
      <c r="K9" s="185" t="s">
        <v>99</v>
      </c>
      <c r="L9" s="186">
        <v>7</v>
      </c>
      <c r="M9" s="184"/>
      <c r="AD9" s="46"/>
    </row>
    <row r="10" spans="1:30">
      <c r="A10" s="79" t="s">
        <v>91</v>
      </c>
      <c r="B10" s="159">
        <f t="shared" si="0"/>
        <v>684209</v>
      </c>
      <c r="C10" s="159">
        <f t="shared" si="1"/>
        <v>322879</v>
      </c>
      <c r="D10" s="159">
        <f t="shared" si="2"/>
        <v>898796</v>
      </c>
      <c r="E10" s="159">
        <f t="shared" si="3"/>
        <v>476808</v>
      </c>
      <c r="F10" s="159">
        <f t="shared" si="4"/>
        <v>30074</v>
      </c>
      <c r="G10" s="159">
        <f t="shared" si="5"/>
        <v>0</v>
      </c>
      <c r="H10" s="159">
        <f t="shared" si="6"/>
        <v>2412766</v>
      </c>
      <c r="I10" s="66"/>
      <c r="K10" s="185" t="s">
        <v>91</v>
      </c>
      <c r="L10" s="186">
        <v>8</v>
      </c>
      <c r="M10" s="184"/>
      <c r="AD10" s="46"/>
    </row>
    <row r="11" spans="1:30">
      <c r="A11" s="79" t="s">
        <v>99</v>
      </c>
      <c r="B11" s="159">
        <f t="shared" si="0"/>
        <v>0</v>
      </c>
      <c r="C11" s="159">
        <f t="shared" si="1"/>
        <v>201251</v>
      </c>
      <c r="D11" s="159">
        <f t="shared" si="2"/>
        <v>0</v>
      </c>
      <c r="E11" s="159">
        <f t="shared" si="3"/>
        <v>650567</v>
      </c>
      <c r="F11" s="159">
        <f t="shared" si="4"/>
        <v>1742680</v>
      </c>
      <c r="G11" s="159">
        <f t="shared" si="5"/>
        <v>0</v>
      </c>
      <c r="H11" s="159">
        <f t="shared" si="6"/>
        <v>2594498</v>
      </c>
      <c r="I11" s="66"/>
      <c r="K11" s="185" t="s">
        <v>141</v>
      </c>
      <c r="L11" s="186">
        <v>9</v>
      </c>
      <c r="M11" s="184"/>
      <c r="AD11" s="46"/>
    </row>
    <row r="12" spans="1:30">
      <c r="A12" s="79" t="s">
        <v>72</v>
      </c>
      <c r="B12" s="159">
        <f t="shared" si="0"/>
        <v>1612125</v>
      </c>
      <c r="C12" s="159">
        <f t="shared" si="1"/>
        <v>328088</v>
      </c>
      <c r="D12" s="159">
        <f t="shared" si="2"/>
        <v>140941</v>
      </c>
      <c r="E12" s="159">
        <f t="shared" si="3"/>
        <v>13376</v>
      </c>
      <c r="F12" s="159">
        <f t="shared" si="4"/>
        <v>2270</v>
      </c>
      <c r="G12" s="159">
        <f t="shared" si="5"/>
        <v>18672</v>
      </c>
      <c r="H12" s="159">
        <f t="shared" si="6"/>
        <v>2115472</v>
      </c>
      <c r="I12" s="66"/>
      <c r="K12" s="185" t="s">
        <v>71</v>
      </c>
      <c r="L12" s="186">
        <v>10</v>
      </c>
      <c r="M12" s="184"/>
      <c r="AD12" s="46"/>
    </row>
    <row r="13" spans="1:30">
      <c r="A13" s="79" t="s">
        <v>65</v>
      </c>
      <c r="B13" s="159">
        <f t="shared" si="0"/>
        <v>828704</v>
      </c>
      <c r="C13" s="159">
        <f t="shared" si="1"/>
        <v>914496</v>
      </c>
      <c r="D13" s="159">
        <f t="shared" si="2"/>
        <v>397270</v>
      </c>
      <c r="E13" s="159">
        <f t="shared" si="3"/>
        <v>52855</v>
      </c>
      <c r="F13" s="159">
        <f t="shared" si="4"/>
        <v>14199</v>
      </c>
      <c r="G13" s="159">
        <f t="shared" si="5"/>
        <v>87206</v>
      </c>
      <c r="H13" s="159">
        <f t="shared" si="6"/>
        <v>2294730</v>
      </c>
      <c r="I13" s="66"/>
      <c r="K13" s="185" t="s">
        <v>76</v>
      </c>
      <c r="L13" s="186">
        <v>11</v>
      </c>
      <c r="M13" s="184"/>
      <c r="AD13" s="46"/>
    </row>
    <row r="14" spans="1:30">
      <c r="A14" s="79" t="s">
        <v>71</v>
      </c>
      <c r="B14" s="159">
        <f t="shared" si="0"/>
        <v>813025</v>
      </c>
      <c r="C14" s="159">
        <f t="shared" si="1"/>
        <v>906026</v>
      </c>
      <c r="D14" s="159">
        <f t="shared" si="2"/>
        <v>351746</v>
      </c>
      <c r="E14" s="159">
        <f t="shared" si="3"/>
        <v>51231</v>
      </c>
      <c r="F14" s="159">
        <f t="shared" si="4"/>
        <v>17408</v>
      </c>
      <c r="G14" s="159">
        <f t="shared" si="5"/>
        <v>76697</v>
      </c>
      <c r="H14" s="159">
        <f t="shared" si="6"/>
        <v>2216133</v>
      </c>
      <c r="I14" s="66"/>
      <c r="K14" s="185" t="s">
        <v>64</v>
      </c>
      <c r="L14" s="186">
        <v>12</v>
      </c>
      <c r="M14" s="184"/>
      <c r="AD14" s="46"/>
    </row>
    <row r="15" spans="1:30">
      <c r="A15" s="79" t="s">
        <v>68</v>
      </c>
      <c r="B15" s="159">
        <f t="shared" si="0"/>
        <v>1426928</v>
      </c>
      <c r="C15" s="159">
        <f t="shared" si="1"/>
        <v>231786</v>
      </c>
      <c r="D15" s="159">
        <f t="shared" si="2"/>
        <v>0</v>
      </c>
      <c r="E15" s="159">
        <f t="shared" si="3"/>
        <v>13</v>
      </c>
      <c r="F15" s="159">
        <f t="shared" si="4"/>
        <v>56902</v>
      </c>
      <c r="G15" s="159">
        <f t="shared" si="5"/>
        <v>0</v>
      </c>
      <c r="H15" s="159">
        <f t="shared" si="6"/>
        <v>1715629</v>
      </c>
      <c r="I15" s="66"/>
      <c r="K15" s="185" t="s">
        <v>82</v>
      </c>
      <c r="L15" s="186">
        <v>13</v>
      </c>
      <c r="M15" s="184"/>
      <c r="AD15" s="46"/>
    </row>
    <row r="16" spans="1:30">
      <c r="A16" s="79" t="s">
        <v>82</v>
      </c>
      <c r="B16" s="159">
        <f t="shared" si="0"/>
        <v>4457</v>
      </c>
      <c r="C16" s="159">
        <f t="shared" si="1"/>
        <v>1533079</v>
      </c>
      <c r="D16" s="159">
        <f t="shared" si="2"/>
        <v>0</v>
      </c>
      <c r="E16" s="159">
        <f t="shared" si="3"/>
        <v>7098</v>
      </c>
      <c r="F16" s="159">
        <f t="shared" si="4"/>
        <v>48321</v>
      </c>
      <c r="G16" s="159">
        <f t="shared" si="5"/>
        <v>22048</v>
      </c>
      <c r="H16" s="159">
        <f t="shared" si="6"/>
        <v>1615003</v>
      </c>
      <c r="I16" s="66"/>
      <c r="K16" s="185" t="s">
        <v>61</v>
      </c>
      <c r="L16" s="186">
        <v>14</v>
      </c>
      <c r="M16" s="184"/>
      <c r="AD16" s="46"/>
    </row>
    <row r="17" spans="1:30">
      <c r="A17" s="79" t="s">
        <v>76</v>
      </c>
      <c r="B17" s="159">
        <f t="shared" si="0"/>
        <v>1598210</v>
      </c>
      <c r="C17" s="159">
        <f t="shared" si="1"/>
        <v>0</v>
      </c>
      <c r="D17" s="159">
        <f t="shared" si="2"/>
        <v>0</v>
      </c>
      <c r="E17" s="159">
        <f t="shared" si="3"/>
        <v>0</v>
      </c>
      <c r="F17" s="159">
        <f t="shared" si="4"/>
        <v>0</v>
      </c>
      <c r="G17" s="159">
        <f t="shared" si="5"/>
        <v>0</v>
      </c>
      <c r="H17" s="159">
        <f t="shared" si="6"/>
        <v>1598210</v>
      </c>
      <c r="I17" s="66"/>
      <c r="K17" s="185" t="s">
        <v>68</v>
      </c>
      <c r="L17" s="186">
        <v>15</v>
      </c>
      <c r="M17" s="184"/>
      <c r="AD17" s="46"/>
    </row>
    <row r="18" spans="1:30">
      <c r="A18" s="79" t="s">
        <v>64</v>
      </c>
      <c r="B18" s="159">
        <f t="shared" si="0"/>
        <v>2507085</v>
      </c>
      <c r="C18" s="159">
        <f t="shared" si="1"/>
        <v>0</v>
      </c>
      <c r="D18" s="159">
        <f t="shared" si="2"/>
        <v>0</v>
      </c>
      <c r="E18" s="159">
        <f t="shared" si="3"/>
        <v>1511</v>
      </c>
      <c r="F18" s="159">
        <f t="shared" si="4"/>
        <v>2409</v>
      </c>
      <c r="G18" s="159">
        <f t="shared" si="5"/>
        <v>0</v>
      </c>
      <c r="H18" s="159">
        <f t="shared" si="6"/>
        <v>2511005</v>
      </c>
      <c r="I18" s="66"/>
      <c r="K18" s="185" t="s">
        <v>142</v>
      </c>
      <c r="L18" s="186">
        <v>16</v>
      </c>
      <c r="M18" s="184"/>
      <c r="AD18" s="46"/>
    </row>
    <row r="19" spans="1:30">
      <c r="A19" s="79" t="s">
        <v>61</v>
      </c>
      <c r="B19" s="159">
        <f t="shared" si="0"/>
        <v>610767</v>
      </c>
      <c r="C19" s="159">
        <f t="shared" si="1"/>
        <v>365200</v>
      </c>
      <c r="D19" s="159">
        <f t="shared" si="2"/>
        <v>654888</v>
      </c>
      <c r="E19" s="159">
        <f t="shared" si="3"/>
        <v>0</v>
      </c>
      <c r="F19" s="159">
        <f t="shared" si="4"/>
        <v>0</v>
      </c>
      <c r="G19" s="159">
        <f t="shared" si="5"/>
        <v>0</v>
      </c>
      <c r="H19" s="159">
        <f t="shared" si="6"/>
        <v>1630855</v>
      </c>
      <c r="I19" s="66"/>
      <c r="K19" s="185" t="s">
        <v>81</v>
      </c>
      <c r="L19" s="185">
        <v>17</v>
      </c>
      <c r="M19" s="184"/>
      <c r="AD19" s="46"/>
    </row>
    <row r="20" spans="1:30">
      <c r="A20" s="79" t="s">
        <v>143</v>
      </c>
      <c r="B20" s="159">
        <f t="shared" si="0"/>
        <v>107161</v>
      </c>
      <c r="C20" s="159">
        <f t="shared" si="1"/>
        <v>144548</v>
      </c>
      <c r="D20" s="159">
        <f t="shared" si="2"/>
        <v>80101</v>
      </c>
      <c r="E20" s="159">
        <f t="shared" si="3"/>
        <v>9838</v>
      </c>
      <c r="F20" s="159">
        <f t="shared" si="4"/>
        <v>722622</v>
      </c>
      <c r="G20" s="159">
        <f t="shared" si="5"/>
        <v>5073</v>
      </c>
      <c r="H20" s="159">
        <f t="shared" si="6"/>
        <v>1069343</v>
      </c>
      <c r="I20" s="66"/>
      <c r="K20" s="185" t="s">
        <v>92</v>
      </c>
      <c r="L20" s="185">
        <v>18</v>
      </c>
      <c r="M20" s="184"/>
      <c r="AD20" s="46"/>
    </row>
    <row r="21" spans="1:30">
      <c r="A21" s="79" t="s">
        <v>86</v>
      </c>
      <c r="B21" s="159">
        <f t="shared" si="0"/>
        <v>900454</v>
      </c>
      <c r="C21" s="159">
        <f t="shared" si="1"/>
        <v>1409</v>
      </c>
      <c r="D21" s="159">
        <f t="shared" si="2"/>
        <v>0</v>
      </c>
      <c r="E21" s="159">
        <f t="shared" si="3"/>
        <v>0</v>
      </c>
      <c r="F21" s="159">
        <f t="shared" si="4"/>
        <v>0</v>
      </c>
      <c r="G21" s="159">
        <f t="shared" si="5"/>
        <v>0</v>
      </c>
      <c r="H21" s="159">
        <f>SUM(B21:G21)</f>
        <v>901863</v>
      </c>
      <c r="I21" s="66"/>
      <c r="K21" s="185" t="s">
        <v>72</v>
      </c>
      <c r="L21" s="186">
        <v>19</v>
      </c>
      <c r="M21" s="184"/>
      <c r="AD21" s="46"/>
    </row>
    <row r="22" spans="1:30">
      <c r="A22" s="79" t="s">
        <v>97</v>
      </c>
      <c r="B22" s="159">
        <f t="shared" si="0"/>
        <v>86500</v>
      </c>
      <c r="C22" s="159">
        <f t="shared" si="1"/>
        <v>182195</v>
      </c>
      <c r="D22" s="159">
        <f t="shared" si="2"/>
        <v>363354</v>
      </c>
      <c r="E22" s="159">
        <f t="shared" si="3"/>
        <v>177490</v>
      </c>
      <c r="F22" s="159">
        <f t="shared" si="4"/>
        <v>0</v>
      </c>
      <c r="G22" s="159">
        <f t="shared" si="5"/>
        <v>0</v>
      </c>
      <c r="H22" s="159">
        <f t="shared" si="6"/>
        <v>809539</v>
      </c>
      <c r="I22" s="66"/>
      <c r="K22" s="184" t="s">
        <v>143</v>
      </c>
      <c r="L22" s="185">
        <v>20</v>
      </c>
      <c r="M22" s="184"/>
      <c r="AD22" s="46"/>
    </row>
    <row r="23" spans="1:30">
      <c r="A23" s="79" t="s">
        <v>90</v>
      </c>
      <c r="B23" s="159">
        <f t="shared" si="0"/>
        <v>775250</v>
      </c>
      <c r="C23" s="159">
        <f t="shared" si="1"/>
        <v>0</v>
      </c>
      <c r="D23" s="159">
        <f t="shared" si="2"/>
        <v>0</v>
      </c>
      <c r="E23" s="159">
        <f t="shared" si="3"/>
        <v>0</v>
      </c>
      <c r="F23" s="159">
        <f t="shared" si="4"/>
        <v>0</v>
      </c>
      <c r="G23" s="159">
        <f t="shared" si="5"/>
        <v>0</v>
      </c>
      <c r="H23" s="159">
        <f t="shared" si="6"/>
        <v>775250</v>
      </c>
      <c r="K23" s="187" t="s">
        <v>144</v>
      </c>
      <c r="L23" s="186">
        <v>21</v>
      </c>
      <c r="M23" s="184"/>
      <c r="X23" s="46"/>
      <c r="Y23" s="46"/>
      <c r="Z23" s="46"/>
      <c r="AA23" s="46"/>
      <c r="AB23" s="46"/>
      <c r="AC23" s="46"/>
      <c r="AD23" s="46"/>
    </row>
    <row r="24" spans="1:30">
      <c r="A24" s="79" t="s">
        <v>145</v>
      </c>
      <c r="B24" s="159">
        <f t="shared" ref="B24:H24" si="7">SUM(B3:B23)</f>
        <v>19724002</v>
      </c>
      <c r="C24" s="159">
        <f t="shared" si="7"/>
        <v>14349537</v>
      </c>
      <c r="D24" s="159">
        <f t="shared" si="7"/>
        <v>14830009</v>
      </c>
      <c r="E24" s="159">
        <f t="shared" si="7"/>
        <v>4388639</v>
      </c>
      <c r="F24" s="159">
        <f t="shared" si="7"/>
        <v>3917933</v>
      </c>
      <c r="G24" s="159">
        <f t="shared" si="7"/>
        <v>1487303</v>
      </c>
      <c r="H24" s="159">
        <f t="shared" si="7"/>
        <v>58697423</v>
      </c>
      <c r="I24" s="106"/>
      <c r="K24" s="187" t="s">
        <v>146</v>
      </c>
      <c r="L24" s="186">
        <v>22</v>
      </c>
      <c r="M24" s="184"/>
      <c r="O24" s="67"/>
      <c r="P24" s="67"/>
      <c r="Q24" s="66"/>
      <c r="R24" s="66"/>
      <c r="S24" s="66"/>
      <c r="T24" s="66"/>
      <c r="X24" s="46"/>
    </row>
    <row r="25" spans="1:30">
      <c r="H25" s="131"/>
      <c r="I25" s="44"/>
      <c r="K25" s="187" t="s">
        <v>147</v>
      </c>
      <c r="L25" s="186">
        <v>23</v>
      </c>
      <c r="M25" s="184"/>
      <c r="O25" s="44"/>
      <c r="P25" s="66"/>
      <c r="Q25" s="44"/>
      <c r="R25" s="69"/>
      <c r="S25" s="44"/>
      <c r="T25" s="44"/>
      <c r="U25" s="44"/>
      <c r="X25" s="50"/>
      <c r="AD25" s="44"/>
    </row>
    <row r="26" spans="1:30" s="190" customFormat="1">
      <c r="A26" s="21"/>
      <c r="B26" s="21"/>
      <c r="K26" s="187" t="s">
        <v>148</v>
      </c>
      <c r="L26" s="186">
        <v>24</v>
      </c>
      <c r="M26" s="184"/>
      <c r="X26" s="191"/>
    </row>
    <row r="27" spans="1:30" s="190" customFormat="1">
      <c r="A27" s="21"/>
      <c r="B27" s="21"/>
      <c r="I27" s="192"/>
      <c r="K27" s="187" t="s">
        <v>149</v>
      </c>
      <c r="L27" s="186">
        <v>25</v>
      </c>
      <c r="M27" s="184"/>
      <c r="X27" s="191"/>
    </row>
    <row r="28" spans="1:30" s="190" customFormat="1">
      <c r="A28" s="21"/>
      <c r="B28" s="21"/>
      <c r="I28" s="193"/>
      <c r="K28" s="187" t="s">
        <v>150</v>
      </c>
      <c r="L28" s="186">
        <v>26</v>
      </c>
      <c r="M28" s="184"/>
    </row>
    <row r="29" spans="1:30" s="190" customFormat="1">
      <c r="K29" s="185" t="s">
        <v>151</v>
      </c>
      <c r="L29" s="186">
        <v>27</v>
      </c>
      <c r="M29" s="184"/>
    </row>
    <row r="30" spans="1:30" s="190" customFormat="1">
      <c r="K30" s="185" t="s">
        <v>98</v>
      </c>
      <c r="L30" s="186">
        <v>28</v>
      </c>
      <c r="M30" s="184"/>
      <c r="N30" s="192"/>
    </row>
    <row r="31" spans="1:30" s="190" customFormat="1">
      <c r="K31" s="185"/>
      <c r="L31" s="186"/>
    </row>
    <row r="32" spans="1:30" s="190" customFormat="1">
      <c r="A32" s="182" t="s">
        <v>152</v>
      </c>
      <c r="J32" s="192"/>
    </row>
    <row r="33" spans="1:27" s="190" customFormat="1">
      <c r="A33" s="194" t="s">
        <v>153</v>
      </c>
      <c r="B33" s="195" t="s">
        <v>154</v>
      </c>
      <c r="C33" s="195"/>
      <c r="D33" s="503" t="s">
        <v>155</v>
      </c>
      <c r="E33" s="503"/>
      <c r="F33" s="503"/>
      <c r="G33" s="503"/>
      <c r="H33" s="503"/>
      <c r="I33" s="503"/>
      <c r="J33" s="503"/>
      <c r="K33" s="503"/>
      <c r="L33" s="503" t="s">
        <v>156</v>
      </c>
      <c r="M33" s="503"/>
      <c r="N33" s="503"/>
      <c r="O33" s="503"/>
      <c r="P33" s="503"/>
      <c r="Q33" s="503"/>
      <c r="R33" s="503"/>
      <c r="S33" s="503"/>
      <c r="T33" s="503" t="s">
        <v>157</v>
      </c>
      <c r="U33" s="503"/>
      <c r="V33" s="503"/>
      <c r="W33" s="503"/>
      <c r="X33" s="503"/>
      <c r="Y33" s="503"/>
      <c r="Z33" s="503"/>
      <c r="AA33" s="503"/>
    </row>
    <row r="34" spans="1:27" s="190" customFormat="1" ht="17">
      <c r="A34" s="196" t="s">
        <v>102</v>
      </c>
      <c r="B34" s="197" t="s">
        <v>158</v>
      </c>
      <c r="C34" s="196" t="s">
        <v>159</v>
      </c>
      <c r="D34" s="195" t="s">
        <v>160</v>
      </c>
      <c r="E34" s="195" t="s">
        <v>161</v>
      </c>
      <c r="F34" s="195" t="s">
        <v>136</v>
      </c>
      <c r="G34" s="195" t="s">
        <v>162</v>
      </c>
      <c r="H34" s="195" t="s">
        <v>163</v>
      </c>
      <c r="I34" s="195" t="s">
        <v>164</v>
      </c>
      <c r="J34" s="198" t="s">
        <v>140</v>
      </c>
      <c r="K34" s="198" t="s">
        <v>165</v>
      </c>
      <c r="L34" s="195" t="s">
        <v>160</v>
      </c>
      <c r="M34" s="195" t="s">
        <v>161</v>
      </c>
      <c r="N34" s="195" t="s">
        <v>136</v>
      </c>
      <c r="O34" s="195" t="s">
        <v>162</v>
      </c>
      <c r="P34" s="195" t="s">
        <v>163</v>
      </c>
      <c r="Q34" s="198" t="s">
        <v>164</v>
      </c>
      <c r="R34" s="198" t="s">
        <v>140</v>
      </c>
      <c r="S34" s="198" t="s">
        <v>165</v>
      </c>
      <c r="T34" s="195" t="s">
        <v>160</v>
      </c>
      <c r="U34" s="195" t="s">
        <v>161</v>
      </c>
      <c r="V34" s="195" t="s">
        <v>136</v>
      </c>
      <c r="W34" s="195" t="s">
        <v>162</v>
      </c>
      <c r="X34" s="195" t="s">
        <v>163</v>
      </c>
      <c r="Y34" s="198" t="s">
        <v>164</v>
      </c>
      <c r="Z34" s="198" t="s">
        <v>140</v>
      </c>
      <c r="AA34" s="198" t="s">
        <v>165</v>
      </c>
    </row>
    <row r="35" spans="1:27" s="190" customFormat="1">
      <c r="A35" s="199">
        <v>1</v>
      </c>
      <c r="B35" s="185" t="s">
        <v>77</v>
      </c>
      <c r="C35" s="185" t="s">
        <v>77</v>
      </c>
      <c r="D35" s="200">
        <f>L35+T35</f>
        <v>1880600</v>
      </c>
      <c r="E35" s="200">
        <f t="shared" ref="E35:E49" si="8">M35+U35</f>
        <v>987044</v>
      </c>
      <c r="F35" s="200">
        <f t="shared" ref="F35:F49" si="9">N35+V35</f>
        <v>2248477</v>
      </c>
      <c r="G35" s="200">
        <f t="shared" ref="G35:G49" si="10">O35+W35</f>
        <v>2249950</v>
      </c>
      <c r="H35" s="200">
        <f t="shared" ref="H35:H49" si="11">P35+X35</f>
        <v>222447</v>
      </c>
      <c r="I35" s="200">
        <f t="shared" ref="I35:I49" si="12">Q35+Y35</f>
        <v>22056</v>
      </c>
      <c r="J35" s="200">
        <f t="shared" ref="J35:J49" si="13">SUM(D35:I35)</f>
        <v>7610574</v>
      </c>
      <c r="K35" s="192"/>
      <c r="L35" s="190">
        <f t="shared" ref="L35:L58" si="14">VLOOKUP(C35,$A$64:$U$201,2,0)</f>
        <v>1879064</v>
      </c>
      <c r="M35" s="190">
        <f t="shared" ref="M35:M58" si="15">VLOOKUP(C35,$A$64:$U$201,3,0)</f>
        <v>889465</v>
      </c>
      <c r="N35" s="190">
        <f t="shared" ref="N35:N58" si="16">VLOOKUP(C35,$A$64:$U$201,4,0)</f>
        <v>1888524</v>
      </c>
      <c r="O35" s="190">
        <f t="shared" ref="O35:O58" si="17">VLOOKUP(C35,$A$64:$U$201,5,0)</f>
        <v>2141602</v>
      </c>
      <c r="P35" s="190">
        <f t="shared" ref="P35:P58" si="18">VLOOKUP(C35,$A$64:$U$201,6,0)</f>
        <v>220115</v>
      </c>
      <c r="Q35" s="190">
        <f t="shared" ref="Q35:Q58" si="19">VLOOKUP(C35,$A$64:$U$201,7,0)</f>
        <v>22056</v>
      </c>
      <c r="R35" s="190">
        <f>SUM(L35:Q35)</f>
        <v>7040826</v>
      </c>
      <c r="T35" s="190">
        <f t="shared" ref="T35:T58" si="20">VLOOKUP(C35,$A$64:$U$201,9,0)</f>
        <v>1536</v>
      </c>
      <c r="U35" s="190">
        <f t="shared" ref="U35:U58" si="21">VLOOKUP(C35,$A$64:$U$201,10,0)</f>
        <v>97579</v>
      </c>
      <c r="V35" s="190">
        <f t="shared" ref="V35:V58" si="22">VLOOKUP(C35,$A$64:$U$201,11,0)</f>
        <v>359953</v>
      </c>
      <c r="W35" s="190">
        <f t="shared" ref="W35:W58" si="23">VLOOKUP(C35,$A$64:$U$201,12,0)</f>
        <v>108348</v>
      </c>
      <c r="X35" s="190">
        <f t="shared" ref="X35:X58" si="24">VLOOKUP(C35,$A$64:$U$201,13,0)</f>
        <v>2332</v>
      </c>
      <c r="Y35" s="190">
        <f t="shared" ref="Y35:Y58" si="25">VLOOKUP(C35,$A$64:$U$201,14,0)</f>
        <v>0</v>
      </c>
      <c r="Z35" s="190">
        <f>SUM(T35:Y35)</f>
        <v>569748</v>
      </c>
    </row>
    <row r="36" spans="1:27" s="190" customFormat="1">
      <c r="A36" s="199">
        <v>2</v>
      </c>
      <c r="B36" s="185" t="s">
        <v>69</v>
      </c>
      <c r="C36" s="185" t="s">
        <v>69</v>
      </c>
      <c r="D36" s="200">
        <f>L36+T36</f>
        <v>3155540</v>
      </c>
      <c r="E36" s="200">
        <f t="shared" si="8"/>
        <v>3527203</v>
      </c>
      <c r="F36" s="200">
        <f>N36+V36</f>
        <v>639648</v>
      </c>
      <c r="G36" s="200">
        <f t="shared" si="10"/>
        <v>65805</v>
      </c>
      <c r="H36" s="200">
        <f t="shared" si="11"/>
        <v>101086</v>
      </c>
      <c r="I36" s="200">
        <f t="shared" si="12"/>
        <v>40711</v>
      </c>
      <c r="J36" s="200">
        <f t="shared" si="13"/>
        <v>7529993</v>
      </c>
      <c r="K36" s="192"/>
      <c r="L36" s="190">
        <f t="shared" si="14"/>
        <v>3155540</v>
      </c>
      <c r="M36" s="190">
        <f t="shared" si="15"/>
        <v>3312806</v>
      </c>
      <c r="N36" s="190">
        <f t="shared" si="16"/>
        <v>639648</v>
      </c>
      <c r="O36" s="190">
        <f t="shared" si="17"/>
        <v>65805</v>
      </c>
      <c r="P36" s="190">
        <f t="shared" si="18"/>
        <v>101086</v>
      </c>
      <c r="Q36" s="190">
        <f t="shared" si="19"/>
        <v>40711</v>
      </c>
      <c r="R36" s="190">
        <f t="shared" ref="R36:R61" si="26">SUM(L36:Q36)</f>
        <v>7315596</v>
      </c>
      <c r="T36" s="190">
        <f t="shared" si="20"/>
        <v>0</v>
      </c>
      <c r="U36" s="190">
        <f t="shared" si="21"/>
        <v>214397</v>
      </c>
      <c r="V36" s="190">
        <f t="shared" si="22"/>
        <v>0</v>
      </c>
      <c r="W36" s="190">
        <f t="shared" si="23"/>
        <v>0</v>
      </c>
      <c r="X36" s="190">
        <f t="shared" si="24"/>
        <v>0</v>
      </c>
      <c r="Y36" s="190">
        <f t="shared" si="25"/>
        <v>0</v>
      </c>
      <c r="Z36" s="190">
        <f t="shared" ref="Z36:Z61" si="27">SUM(T36:Y36)</f>
        <v>214397</v>
      </c>
    </row>
    <row r="37" spans="1:27" s="190" customFormat="1">
      <c r="A37" s="199">
        <v>3</v>
      </c>
      <c r="B37" s="185" t="s">
        <v>70</v>
      </c>
      <c r="C37" s="185" t="s">
        <v>70</v>
      </c>
      <c r="D37" s="200">
        <f t="shared" ref="D37:D49" si="28">L37+T37</f>
        <v>872530</v>
      </c>
      <c r="E37" s="200">
        <f t="shared" si="8"/>
        <v>2056</v>
      </c>
      <c r="F37" s="200">
        <f t="shared" si="9"/>
        <v>2577662</v>
      </c>
      <c r="G37" s="200">
        <f t="shared" si="10"/>
        <v>1366</v>
      </c>
      <c r="H37" s="200">
        <f t="shared" si="11"/>
        <v>0</v>
      </c>
      <c r="I37" s="200">
        <f t="shared" si="12"/>
        <v>39730</v>
      </c>
      <c r="J37" s="200">
        <f t="shared" si="13"/>
        <v>3493344</v>
      </c>
      <c r="K37" s="192"/>
      <c r="L37" s="190">
        <f t="shared" si="14"/>
        <v>872530</v>
      </c>
      <c r="M37" s="190">
        <f t="shared" si="15"/>
        <v>1671</v>
      </c>
      <c r="N37" s="190">
        <f t="shared" si="16"/>
        <v>1579915</v>
      </c>
      <c r="O37" s="190">
        <f t="shared" si="17"/>
        <v>1366</v>
      </c>
      <c r="P37" s="190">
        <f t="shared" si="18"/>
        <v>0</v>
      </c>
      <c r="Q37" s="190">
        <f t="shared" si="19"/>
        <v>37624</v>
      </c>
      <c r="R37" s="190">
        <f t="shared" si="26"/>
        <v>2493106</v>
      </c>
      <c r="T37" s="190">
        <f t="shared" si="20"/>
        <v>0</v>
      </c>
      <c r="U37" s="190">
        <f t="shared" si="21"/>
        <v>385</v>
      </c>
      <c r="V37" s="190">
        <f t="shared" si="22"/>
        <v>997747</v>
      </c>
      <c r="W37" s="190">
        <f t="shared" si="23"/>
        <v>0</v>
      </c>
      <c r="X37" s="190">
        <f t="shared" si="24"/>
        <v>0</v>
      </c>
      <c r="Y37" s="190">
        <f t="shared" si="25"/>
        <v>2106</v>
      </c>
      <c r="Z37" s="190">
        <f t="shared" si="27"/>
        <v>1000238</v>
      </c>
    </row>
    <row r="38" spans="1:27" s="190" customFormat="1">
      <c r="A38" s="199">
        <v>4</v>
      </c>
      <c r="B38" s="185" t="s">
        <v>74</v>
      </c>
      <c r="C38" s="185" t="s">
        <v>74</v>
      </c>
      <c r="D38" s="200">
        <f t="shared" si="28"/>
        <v>82351</v>
      </c>
      <c r="E38" s="200">
        <f t="shared" si="8"/>
        <v>2681868</v>
      </c>
      <c r="F38" s="200">
        <f t="shared" si="9"/>
        <v>1534787</v>
      </c>
      <c r="G38" s="200">
        <f t="shared" si="10"/>
        <v>35654</v>
      </c>
      <c r="H38" s="200">
        <f t="shared" si="11"/>
        <v>16117</v>
      </c>
      <c r="I38" s="200">
        <f t="shared" si="12"/>
        <v>7125</v>
      </c>
      <c r="J38" s="200">
        <f t="shared" si="13"/>
        <v>4357902</v>
      </c>
      <c r="K38" s="192"/>
      <c r="L38" s="190">
        <f t="shared" si="14"/>
        <v>78744</v>
      </c>
      <c r="M38" s="190">
        <f t="shared" si="15"/>
        <v>2127762</v>
      </c>
      <c r="N38" s="190">
        <f t="shared" si="16"/>
        <v>940122</v>
      </c>
      <c r="O38" s="190">
        <f t="shared" si="17"/>
        <v>35654</v>
      </c>
      <c r="P38" s="190">
        <f t="shared" si="18"/>
        <v>16117</v>
      </c>
      <c r="Q38" s="190">
        <f t="shared" si="19"/>
        <v>6856</v>
      </c>
      <c r="R38" s="190">
        <f t="shared" si="26"/>
        <v>3205255</v>
      </c>
      <c r="T38" s="190">
        <f t="shared" si="20"/>
        <v>3607</v>
      </c>
      <c r="U38" s="190">
        <f t="shared" si="21"/>
        <v>554106</v>
      </c>
      <c r="V38" s="190">
        <f t="shared" si="22"/>
        <v>594665</v>
      </c>
      <c r="W38" s="190">
        <f t="shared" si="23"/>
        <v>0</v>
      </c>
      <c r="X38" s="190">
        <f t="shared" si="24"/>
        <v>0</v>
      </c>
      <c r="Y38" s="190">
        <f t="shared" si="25"/>
        <v>269</v>
      </c>
      <c r="Z38" s="190">
        <f t="shared" si="27"/>
        <v>1152647</v>
      </c>
    </row>
    <row r="39" spans="1:27" s="190" customFormat="1">
      <c r="A39" s="199">
        <v>5</v>
      </c>
      <c r="B39" s="185" t="s">
        <v>89</v>
      </c>
      <c r="C39" s="185" t="s">
        <v>89</v>
      </c>
      <c r="D39" s="200">
        <f t="shared" si="28"/>
        <v>1207184</v>
      </c>
      <c r="E39" s="200">
        <f t="shared" si="8"/>
        <v>60960</v>
      </c>
      <c r="F39" s="200">
        <f t="shared" si="9"/>
        <v>1308186</v>
      </c>
      <c r="G39" s="200">
        <f t="shared" si="10"/>
        <v>594285</v>
      </c>
      <c r="H39" s="200">
        <f t="shared" si="11"/>
        <v>84289</v>
      </c>
      <c r="I39" s="200">
        <f t="shared" si="12"/>
        <v>1385</v>
      </c>
      <c r="J39" s="200">
        <f t="shared" si="13"/>
        <v>3256289</v>
      </c>
      <c r="K39" s="192"/>
      <c r="L39" s="190">
        <f t="shared" si="14"/>
        <v>1207184</v>
      </c>
      <c r="M39" s="190">
        <f t="shared" si="15"/>
        <v>60952</v>
      </c>
      <c r="N39" s="190">
        <f t="shared" si="16"/>
        <v>1256185</v>
      </c>
      <c r="O39" s="190">
        <f t="shared" si="17"/>
        <v>594285</v>
      </c>
      <c r="P39" s="190">
        <f t="shared" si="18"/>
        <v>84289</v>
      </c>
      <c r="Q39" s="190">
        <f t="shared" si="19"/>
        <v>1385</v>
      </c>
      <c r="R39" s="190">
        <f t="shared" si="26"/>
        <v>3204280</v>
      </c>
      <c r="T39" s="190">
        <f t="shared" si="20"/>
        <v>0</v>
      </c>
      <c r="U39" s="190">
        <f t="shared" si="21"/>
        <v>8</v>
      </c>
      <c r="V39" s="190">
        <f t="shared" si="22"/>
        <v>52001</v>
      </c>
      <c r="W39" s="190">
        <f t="shared" si="23"/>
        <v>0</v>
      </c>
      <c r="X39" s="190">
        <f t="shared" si="24"/>
        <v>0</v>
      </c>
      <c r="Y39" s="190">
        <f t="shared" si="25"/>
        <v>0</v>
      </c>
      <c r="Z39" s="190">
        <f t="shared" si="27"/>
        <v>52009</v>
      </c>
    </row>
    <row r="40" spans="1:27" s="190" customFormat="1">
      <c r="A40" s="199">
        <v>6</v>
      </c>
      <c r="B40" s="185" t="s">
        <v>88</v>
      </c>
      <c r="C40" s="185" t="s">
        <v>88</v>
      </c>
      <c r="D40" s="200">
        <f t="shared" si="28"/>
        <v>255328</v>
      </c>
      <c r="E40" s="200">
        <f t="shared" si="8"/>
        <v>863422</v>
      </c>
      <c r="F40" s="200">
        <f t="shared" si="9"/>
        <v>1981332</v>
      </c>
      <c r="G40" s="200">
        <f t="shared" si="10"/>
        <v>299</v>
      </c>
      <c r="H40" s="200">
        <f t="shared" si="11"/>
        <v>0</v>
      </c>
      <c r="I40" s="200">
        <f t="shared" si="12"/>
        <v>5108</v>
      </c>
      <c r="J40" s="200">
        <f t="shared" si="13"/>
        <v>3105489</v>
      </c>
      <c r="K40" s="192"/>
      <c r="L40" s="190">
        <f t="shared" si="14"/>
        <v>251865</v>
      </c>
      <c r="M40" s="190">
        <f t="shared" si="15"/>
        <v>556903</v>
      </c>
      <c r="N40" s="190">
        <f t="shared" si="16"/>
        <v>914135</v>
      </c>
      <c r="O40" s="190">
        <f t="shared" si="17"/>
        <v>299</v>
      </c>
      <c r="P40" s="190">
        <f t="shared" si="18"/>
        <v>0</v>
      </c>
      <c r="Q40" s="190">
        <f t="shared" si="19"/>
        <v>4100</v>
      </c>
      <c r="R40" s="190">
        <f t="shared" si="26"/>
        <v>1727302</v>
      </c>
      <c r="T40" s="190">
        <f t="shared" si="20"/>
        <v>3463</v>
      </c>
      <c r="U40" s="190">
        <f t="shared" si="21"/>
        <v>306519</v>
      </c>
      <c r="V40" s="190">
        <f t="shared" si="22"/>
        <v>1067197</v>
      </c>
      <c r="W40" s="190">
        <f t="shared" si="23"/>
        <v>0</v>
      </c>
      <c r="X40" s="190">
        <f t="shared" si="24"/>
        <v>0</v>
      </c>
      <c r="Y40" s="190">
        <f t="shared" si="25"/>
        <v>1008</v>
      </c>
      <c r="Z40" s="190">
        <f t="shared" si="27"/>
        <v>1378187</v>
      </c>
    </row>
    <row r="41" spans="1:27" s="190" customFormat="1">
      <c r="A41" s="199">
        <v>7</v>
      </c>
      <c r="B41" s="185" t="s">
        <v>99</v>
      </c>
      <c r="C41" s="185" t="s">
        <v>99</v>
      </c>
      <c r="D41" s="200">
        <f t="shared" si="28"/>
        <v>0</v>
      </c>
      <c r="E41" s="200">
        <f t="shared" si="8"/>
        <v>201251</v>
      </c>
      <c r="F41" s="200">
        <f t="shared" si="9"/>
        <v>0</v>
      </c>
      <c r="G41" s="200">
        <f t="shared" si="10"/>
        <v>650567</v>
      </c>
      <c r="H41" s="200">
        <f t="shared" si="11"/>
        <v>1742680</v>
      </c>
      <c r="I41" s="200">
        <f t="shared" si="12"/>
        <v>0</v>
      </c>
      <c r="J41" s="200">
        <f t="shared" si="13"/>
        <v>2594498</v>
      </c>
      <c r="K41" s="192"/>
      <c r="L41" s="190">
        <f t="shared" si="14"/>
        <v>0</v>
      </c>
      <c r="M41" s="190">
        <f t="shared" si="15"/>
        <v>188289</v>
      </c>
      <c r="N41" s="190">
        <f t="shared" si="16"/>
        <v>0</v>
      </c>
      <c r="O41" s="190">
        <f t="shared" si="17"/>
        <v>594036</v>
      </c>
      <c r="P41" s="190">
        <f t="shared" si="18"/>
        <v>1571658</v>
      </c>
      <c r="Q41" s="190">
        <f t="shared" si="19"/>
        <v>0</v>
      </c>
      <c r="R41" s="190">
        <f t="shared" si="26"/>
        <v>2353983</v>
      </c>
      <c r="T41" s="190">
        <f t="shared" si="20"/>
        <v>0</v>
      </c>
      <c r="U41" s="190">
        <f t="shared" si="21"/>
        <v>12962</v>
      </c>
      <c r="V41" s="190">
        <f t="shared" si="22"/>
        <v>0</v>
      </c>
      <c r="W41" s="190">
        <f t="shared" si="23"/>
        <v>56531</v>
      </c>
      <c r="X41" s="190">
        <f t="shared" si="24"/>
        <v>171022</v>
      </c>
      <c r="Y41" s="190">
        <f t="shared" si="25"/>
        <v>0</v>
      </c>
      <c r="Z41" s="190">
        <f t="shared" si="27"/>
        <v>240515</v>
      </c>
    </row>
    <row r="42" spans="1:27" s="190" customFormat="1">
      <c r="A42" s="199">
        <v>8</v>
      </c>
      <c r="B42" s="185" t="s">
        <v>91</v>
      </c>
      <c r="C42" s="185" t="s">
        <v>91</v>
      </c>
      <c r="D42" s="200">
        <f t="shared" si="28"/>
        <v>684209</v>
      </c>
      <c r="E42" s="200">
        <f t="shared" si="8"/>
        <v>322879</v>
      </c>
      <c r="F42" s="200">
        <f t="shared" si="9"/>
        <v>898796</v>
      </c>
      <c r="G42" s="200">
        <f t="shared" si="10"/>
        <v>476808</v>
      </c>
      <c r="H42" s="200">
        <f t="shared" si="11"/>
        <v>30074</v>
      </c>
      <c r="I42" s="200">
        <f t="shared" si="12"/>
        <v>0</v>
      </c>
      <c r="J42" s="200">
        <f t="shared" si="13"/>
        <v>2412766</v>
      </c>
      <c r="K42" s="192"/>
      <c r="L42" s="190">
        <f t="shared" si="14"/>
        <v>677959</v>
      </c>
      <c r="M42" s="190">
        <f t="shared" si="15"/>
        <v>293701</v>
      </c>
      <c r="N42" s="190">
        <f t="shared" si="16"/>
        <v>821472</v>
      </c>
      <c r="O42" s="190">
        <f t="shared" si="17"/>
        <v>435267</v>
      </c>
      <c r="P42" s="190">
        <f t="shared" si="18"/>
        <v>30074</v>
      </c>
      <c r="Q42" s="190">
        <f t="shared" si="19"/>
        <v>0</v>
      </c>
      <c r="R42" s="190">
        <f t="shared" si="26"/>
        <v>2258473</v>
      </c>
      <c r="T42" s="190">
        <f t="shared" si="20"/>
        <v>6250</v>
      </c>
      <c r="U42" s="190">
        <f t="shared" si="21"/>
        <v>29178</v>
      </c>
      <c r="V42" s="190">
        <f t="shared" si="22"/>
        <v>77324</v>
      </c>
      <c r="W42" s="190">
        <f t="shared" si="23"/>
        <v>41541</v>
      </c>
      <c r="X42" s="190">
        <f t="shared" si="24"/>
        <v>0</v>
      </c>
      <c r="Y42" s="190">
        <f t="shared" si="25"/>
        <v>0</v>
      </c>
      <c r="Z42" s="190">
        <f t="shared" si="27"/>
        <v>154293</v>
      </c>
    </row>
    <row r="43" spans="1:27" s="190" customFormat="1">
      <c r="A43" s="199">
        <v>9</v>
      </c>
      <c r="B43" s="185" t="s">
        <v>65</v>
      </c>
      <c r="C43" s="185" t="s">
        <v>65</v>
      </c>
      <c r="D43" s="200">
        <f t="shared" si="28"/>
        <v>828704</v>
      </c>
      <c r="E43" s="200">
        <f t="shared" si="8"/>
        <v>914496</v>
      </c>
      <c r="F43" s="200">
        <f t="shared" si="9"/>
        <v>397270</v>
      </c>
      <c r="G43" s="200">
        <f t="shared" si="10"/>
        <v>52855</v>
      </c>
      <c r="H43" s="200">
        <f t="shared" si="11"/>
        <v>14199</v>
      </c>
      <c r="I43" s="200">
        <f t="shared" si="12"/>
        <v>87206</v>
      </c>
      <c r="J43" s="200">
        <f t="shared" si="13"/>
        <v>2294730</v>
      </c>
      <c r="K43" s="192"/>
      <c r="L43" s="190">
        <f t="shared" si="14"/>
        <v>828704</v>
      </c>
      <c r="M43" s="190">
        <f t="shared" si="15"/>
        <v>913292</v>
      </c>
      <c r="N43" s="190">
        <f t="shared" si="16"/>
        <v>397270</v>
      </c>
      <c r="O43" s="190">
        <f t="shared" si="17"/>
        <v>52855</v>
      </c>
      <c r="P43" s="190">
        <f t="shared" si="18"/>
        <v>14199</v>
      </c>
      <c r="Q43" s="190">
        <f t="shared" si="19"/>
        <v>87206</v>
      </c>
      <c r="R43" s="190">
        <f t="shared" si="26"/>
        <v>2293526</v>
      </c>
      <c r="T43" s="190">
        <f t="shared" si="20"/>
        <v>0</v>
      </c>
      <c r="U43" s="190">
        <f t="shared" si="21"/>
        <v>1204</v>
      </c>
      <c r="V43" s="190">
        <f t="shared" si="22"/>
        <v>0</v>
      </c>
      <c r="W43" s="190">
        <f t="shared" si="23"/>
        <v>0</v>
      </c>
      <c r="X43" s="190">
        <f t="shared" si="24"/>
        <v>0</v>
      </c>
      <c r="Y43" s="190">
        <f t="shared" si="25"/>
        <v>0</v>
      </c>
      <c r="Z43" s="190">
        <f t="shared" si="27"/>
        <v>1204</v>
      </c>
    </row>
    <row r="44" spans="1:27" s="190" customFormat="1">
      <c r="A44" s="199">
        <v>10</v>
      </c>
      <c r="B44" s="185" t="s">
        <v>71</v>
      </c>
      <c r="C44" s="185" t="s">
        <v>71</v>
      </c>
      <c r="D44" s="200">
        <f t="shared" si="28"/>
        <v>813025</v>
      </c>
      <c r="E44" s="200">
        <f t="shared" si="8"/>
        <v>906026</v>
      </c>
      <c r="F44" s="200">
        <f t="shared" si="9"/>
        <v>351746</v>
      </c>
      <c r="G44" s="200">
        <f t="shared" si="10"/>
        <v>51231</v>
      </c>
      <c r="H44" s="200">
        <f t="shared" si="11"/>
        <v>17408</v>
      </c>
      <c r="I44" s="200">
        <f t="shared" si="12"/>
        <v>76697</v>
      </c>
      <c r="J44" s="200">
        <f t="shared" si="13"/>
        <v>2216133</v>
      </c>
      <c r="K44" s="192"/>
      <c r="L44" s="190">
        <f t="shared" si="14"/>
        <v>813025</v>
      </c>
      <c r="M44" s="190">
        <f t="shared" si="15"/>
        <v>739045</v>
      </c>
      <c r="N44" s="190">
        <f t="shared" si="16"/>
        <v>282229</v>
      </c>
      <c r="O44" s="190">
        <f t="shared" si="17"/>
        <v>51231</v>
      </c>
      <c r="P44" s="190">
        <f t="shared" si="18"/>
        <v>17408</v>
      </c>
      <c r="Q44" s="190">
        <f t="shared" si="19"/>
        <v>76697</v>
      </c>
      <c r="R44" s="190">
        <f t="shared" si="26"/>
        <v>1979635</v>
      </c>
      <c r="T44" s="190">
        <f t="shared" si="20"/>
        <v>0</v>
      </c>
      <c r="U44" s="190">
        <f t="shared" si="21"/>
        <v>166981</v>
      </c>
      <c r="V44" s="190">
        <f t="shared" si="22"/>
        <v>69517</v>
      </c>
      <c r="W44" s="190">
        <f t="shared" si="23"/>
        <v>0</v>
      </c>
      <c r="X44" s="190">
        <f t="shared" si="24"/>
        <v>0</v>
      </c>
      <c r="Y44" s="190">
        <f t="shared" si="25"/>
        <v>0</v>
      </c>
      <c r="Z44" s="190">
        <f t="shared" si="27"/>
        <v>236498</v>
      </c>
    </row>
    <row r="45" spans="1:27" s="190" customFormat="1">
      <c r="A45" s="199">
        <v>11</v>
      </c>
      <c r="B45" s="185" t="s">
        <v>76</v>
      </c>
      <c r="C45" s="185" t="s">
        <v>76</v>
      </c>
      <c r="D45" s="200">
        <f t="shared" si="28"/>
        <v>1598210</v>
      </c>
      <c r="E45" s="200">
        <f t="shared" si="8"/>
        <v>0</v>
      </c>
      <c r="F45" s="200">
        <f t="shared" si="9"/>
        <v>0</v>
      </c>
      <c r="G45" s="200">
        <f t="shared" si="10"/>
        <v>0</v>
      </c>
      <c r="H45" s="200">
        <f t="shared" si="11"/>
        <v>0</v>
      </c>
      <c r="I45" s="200">
        <f t="shared" si="12"/>
        <v>0</v>
      </c>
      <c r="J45" s="200">
        <f t="shared" si="13"/>
        <v>1598210</v>
      </c>
      <c r="K45" s="192"/>
      <c r="L45" s="190">
        <f t="shared" si="14"/>
        <v>1366079</v>
      </c>
      <c r="M45" s="190">
        <f t="shared" si="15"/>
        <v>0</v>
      </c>
      <c r="N45" s="190">
        <f t="shared" si="16"/>
        <v>0</v>
      </c>
      <c r="O45" s="190">
        <f t="shared" si="17"/>
        <v>0</v>
      </c>
      <c r="P45" s="190">
        <f t="shared" si="18"/>
        <v>0</v>
      </c>
      <c r="Q45" s="190">
        <f t="shared" si="19"/>
        <v>0</v>
      </c>
      <c r="R45" s="190">
        <f t="shared" si="26"/>
        <v>1366079</v>
      </c>
      <c r="T45" s="190">
        <f t="shared" si="20"/>
        <v>232131</v>
      </c>
      <c r="U45" s="190">
        <f t="shared" si="21"/>
        <v>0</v>
      </c>
      <c r="V45" s="190">
        <f t="shared" si="22"/>
        <v>0</v>
      </c>
      <c r="W45" s="190">
        <f t="shared" si="23"/>
        <v>0</v>
      </c>
      <c r="X45" s="190">
        <f t="shared" si="24"/>
        <v>0</v>
      </c>
      <c r="Y45" s="190">
        <f t="shared" si="25"/>
        <v>0</v>
      </c>
      <c r="Z45" s="190">
        <f t="shared" si="27"/>
        <v>232131</v>
      </c>
    </row>
    <row r="46" spans="1:27" s="190" customFormat="1">
      <c r="A46" s="199">
        <v>12</v>
      </c>
      <c r="B46" s="185" t="s">
        <v>64</v>
      </c>
      <c r="C46" s="185" t="s">
        <v>64</v>
      </c>
      <c r="D46" s="200">
        <f t="shared" si="28"/>
        <v>2507085</v>
      </c>
      <c r="E46" s="200">
        <f t="shared" si="8"/>
        <v>0</v>
      </c>
      <c r="F46" s="200">
        <f t="shared" si="9"/>
        <v>0</v>
      </c>
      <c r="G46" s="200">
        <f t="shared" si="10"/>
        <v>1511</v>
      </c>
      <c r="H46" s="200">
        <f t="shared" si="11"/>
        <v>2409</v>
      </c>
      <c r="I46" s="200">
        <f t="shared" si="12"/>
        <v>0</v>
      </c>
      <c r="J46" s="200">
        <f t="shared" si="13"/>
        <v>2511005</v>
      </c>
      <c r="K46" s="192"/>
      <c r="L46" s="190">
        <f t="shared" si="14"/>
        <v>2506992</v>
      </c>
      <c r="M46" s="190">
        <f t="shared" si="15"/>
        <v>0</v>
      </c>
      <c r="N46" s="190">
        <f t="shared" si="16"/>
        <v>0</v>
      </c>
      <c r="O46" s="190">
        <f t="shared" si="17"/>
        <v>1511</v>
      </c>
      <c r="P46" s="190">
        <f t="shared" si="18"/>
        <v>2409</v>
      </c>
      <c r="Q46" s="190">
        <f t="shared" si="19"/>
        <v>0</v>
      </c>
      <c r="R46" s="190">
        <f t="shared" si="26"/>
        <v>2510912</v>
      </c>
      <c r="T46" s="190">
        <f t="shared" si="20"/>
        <v>93</v>
      </c>
      <c r="U46" s="190">
        <f t="shared" si="21"/>
        <v>0</v>
      </c>
      <c r="V46" s="190">
        <f t="shared" si="22"/>
        <v>0</v>
      </c>
      <c r="W46" s="190">
        <f t="shared" si="23"/>
        <v>0</v>
      </c>
      <c r="X46" s="190">
        <f t="shared" si="24"/>
        <v>0</v>
      </c>
      <c r="Y46" s="190">
        <f t="shared" si="25"/>
        <v>0</v>
      </c>
      <c r="Z46" s="190">
        <f t="shared" si="27"/>
        <v>93</v>
      </c>
    </row>
    <row r="47" spans="1:27" s="190" customFormat="1">
      <c r="A47" s="199">
        <v>13</v>
      </c>
      <c r="B47" s="185" t="s">
        <v>82</v>
      </c>
      <c r="C47" s="185" t="s">
        <v>82</v>
      </c>
      <c r="D47" s="200">
        <f t="shared" si="28"/>
        <v>4457</v>
      </c>
      <c r="E47" s="200">
        <f t="shared" si="8"/>
        <v>1533079</v>
      </c>
      <c r="F47" s="200">
        <f t="shared" si="9"/>
        <v>0</v>
      </c>
      <c r="G47" s="200">
        <f t="shared" si="10"/>
        <v>7098</v>
      </c>
      <c r="H47" s="200">
        <f t="shared" si="11"/>
        <v>48321</v>
      </c>
      <c r="I47" s="200">
        <f t="shared" si="12"/>
        <v>22048</v>
      </c>
      <c r="J47" s="200">
        <f t="shared" si="13"/>
        <v>1615003</v>
      </c>
      <c r="K47" s="192"/>
      <c r="L47" s="190">
        <f t="shared" si="14"/>
        <v>4457</v>
      </c>
      <c r="M47" s="190">
        <f t="shared" si="15"/>
        <v>1238085</v>
      </c>
      <c r="N47" s="190">
        <f t="shared" si="16"/>
        <v>0</v>
      </c>
      <c r="O47" s="190">
        <f t="shared" si="17"/>
        <v>7098</v>
      </c>
      <c r="P47" s="190">
        <f t="shared" si="18"/>
        <v>48321</v>
      </c>
      <c r="Q47" s="190">
        <f t="shared" si="19"/>
        <v>22048</v>
      </c>
      <c r="R47" s="190">
        <f t="shared" si="26"/>
        <v>1320009</v>
      </c>
      <c r="T47" s="190">
        <f t="shared" si="20"/>
        <v>0</v>
      </c>
      <c r="U47" s="190">
        <f t="shared" si="21"/>
        <v>294994</v>
      </c>
      <c r="V47" s="190">
        <f t="shared" si="22"/>
        <v>0</v>
      </c>
      <c r="W47" s="190">
        <f t="shared" si="23"/>
        <v>0</v>
      </c>
      <c r="X47" s="190">
        <f t="shared" si="24"/>
        <v>0</v>
      </c>
      <c r="Y47" s="190">
        <f t="shared" si="25"/>
        <v>0</v>
      </c>
      <c r="Z47" s="190">
        <f t="shared" si="27"/>
        <v>294994</v>
      </c>
    </row>
    <row r="48" spans="1:27" s="190" customFormat="1">
      <c r="A48" s="199">
        <v>14</v>
      </c>
      <c r="B48" s="185" t="s">
        <v>61</v>
      </c>
      <c r="C48" s="185" t="s">
        <v>61</v>
      </c>
      <c r="D48" s="200">
        <f t="shared" si="28"/>
        <v>610767</v>
      </c>
      <c r="E48" s="200">
        <f t="shared" si="8"/>
        <v>365200</v>
      </c>
      <c r="F48" s="200">
        <f t="shared" si="9"/>
        <v>654888</v>
      </c>
      <c r="G48" s="200">
        <f t="shared" si="10"/>
        <v>0</v>
      </c>
      <c r="H48" s="200">
        <f t="shared" si="11"/>
        <v>0</v>
      </c>
      <c r="I48" s="200">
        <f t="shared" si="12"/>
        <v>0</v>
      </c>
      <c r="J48" s="200">
        <f t="shared" si="13"/>
        <v>1630855</v>
      </c>
      <c r="K48" s="192"/>
      <c r="L48" s="190">
        <f t="shared" si="14"/>
        <v>610767</v>
      </c>
      <c r="M48" s="190">
        <f t="shared" si="15"/>
        <v>365198</v>
      </c>
      <c r="N48" s="190">
        <f t="shared" si="16"/>
        <v>654888</v>
      </c>
      <c r="O48" s="190">
        <f t="shared" si="17"/>
        <v>0</v>
      </c>
      <c r="P48" s="190">
        <f t="shared" si="18"/>
        <v>0</v>
      </c>
      <c r="Q48" s="190">
        <f t="shared" si="19"/>
        <v>0</v>
      </c>
      <c r="R48" s="190">
        <f t="shared" si="26"/>
        <v>1630853</v>
      </c>
      <c r="T48" s="190">
        <f t="shared" si="20"/>
        <v>0</v>
      </c>
      <c r="U48" s="190">
        <f t="shared" si="21"/>
        <v>2</v>
      </c>
      <c r="V48" s="190">
        <f t="shared" si="22"/>
        <v>0</v>
      </c>
      <c r="W48" s="190">
        <f t="shared" si="23"/>
        <v>0</v>
      </c>
      <c r="X48" s="190">
        <f t="shared" si="24"/>
        <v>0</v>
      </c>
      <c r="Y48" s="190">
        <f t="shared" si="25"/>
        <v>0</v>
      </c>
      <c r="Z48" s="190">
        <f t="shared" si="27"/>
        <v>2</v>
      </c>
    </row>
    <row r="49" spans="1:27" s="190" customFormat="1">
      <c r="A49" s="199">
        <v>15</v>
      </c>
      <c r="B49" s="185" t="s">
        <v>68</v>
      </c>
      <c r="C49" s="185" t="s">
        <v>68</v>
      </c>
      <c r="D49" s="200">
        <f t="shared" si="28"/>
        <v>1426928</v>
      </c>
      <c r="E49" s="200">
        <f t="shared" si="8"/>
        <v>231786</v>
      </c>
      <c r="F49" s="200">
        <f t="shared" si="9"/>
        <v>0</v>
      </c>
      <c r="G49" s="200">
        <f t="shared" si="10"/>
        <v>13</v>
      </c>
      <c r="H49" s="200">
        <f t="shared" si="11"/>
        <v>56902</v>
      </c>
      <c r="I49" s="200">
        <f t="shared" si="12"/>
        <v>0</v>
      </c>
      <c r="J49" s="200">
        <f t="shared" si="13"/>
        <v>1715629</v>
      </c>
      <c r="K49" s="192"/>
      <c r="L49" s="190">
        <f t="shared" si="14"/>
        <v>1058223</v>
      </c>
      <c r="M49" s="190">
        <f t="shared" si="15"/>
        <v>231626</v>
      </c>
      <c r="N49" s="190">
        <f t="shared" si="16"/>
        <v>0</v>
      </c>
      <c r="O49" s="190">
        <f t="shared" si="17"/>
        <v>13</v>
      </c>
      <c r="P49" s="190">
        <f t="shared" si="18"/>
        <v>56902</v>
      </c>
      <c r="Q49" s="190">
        <f t="shared" si="19"/>
        <v>0</v>
      </c>
      <c r="R49" s="190">
        <f t="shared" si="26"/>
        <v>1346764</v>
      </c>
      <c r="T49" s="190">
        <f t="shared" si="20"/>
        <v>368705</v>
      </c>
      <c r="U49" s="190">
        <f t="shared" si="21"/>
        <v>160</v>
      </c>
      <c r="V49" s="190">
        <f t="shared" si="22"/>
        <v>0</v>
      </c>
      <c r="W49" s="190">
        <f t="shared" si="23"/>
        <v>0</v>
      </c>
      <c r="X49" s="190">
        <f t="shared" si="24"/>
        <v>0</v>
      </c>
      <c r="Y49" s="190">
        <f t="shared" si="25"/>
        <v>0</v>
      </c>
      <c r="Z49" s="190">
        <f t="shared" si="27"/>
        <v>368865</v>
      </c>
    </row>
    <row r="50" spans="1:27" s="190" customFormat="1">
      <c r="A50" s="199">
        <v>17</v>
      </c>
      <c r="B50" s="185" t="s">
        <v>81</v>
      </c>
      <c r="C50" s="185" t="s">
        <v>81</v>
      </c>
      <c r="D50" s="200">
        <f t="shared" ref="D50:D61" si="29">L50+T50</f>
        <v>900454</v>
      </c>
      <c r="E50" s="200">
        <f t="shared" ref="E50:E61" si="30">M50+U50</f>
        <v>1409</v>
      </c>
      <c r="F50" s="200">
        <f t="shared" ref="F50:F61" si="31">N50+V50</f>
        <v>0</v>
      </c>
      <c r="G50" s="200">
        <f t="shared" ref="G50:G61" si="32">O50+W50</f>
        <v>0</v>
      </c>
      <c r="H50" s="200">
        <f t="shared" ref="H50:H61" si="33">P50+X50</f>
        <v>0</v>
      </c>
      <c r="I50" s="200">
        <f t="shared" ref="I50:I61" si="34">Q50+Y50</f>
        <v>0</v>
      </c>
      <c r="J50" s="200">
        <f t="shared" ref="J50:J61" si="35">SUM(D50:I50)</f>
        <v>901863</v>
      </c>
      <c r="K50" s="192"/>
      <c r="L50" s="190">
        <f t="shared" si="14"/>
        <v>740128</v>
      </c>
      <c r="M50" s="190">
        <f t="shared" si="15"/>
        <v>1029</v>
      </c>
      <c r="N50" s="190">
        <f t="shared" si="16"/>
        <v>0</v>
      </c>
      <c r="O50" s="190">
        <f t="shared" si="17"/>
        <v>0</v>
      </c>
      <c r="P50" s="190">
        <f t="shared" si="18"/>
        <v>0</v>
      </c>
      <c r="Q50" s="190">
        <f t="shared" si="19"/>
        <v>0</v>
      </c>
      <c r="R50" s="190">
        <f t="shared" si="26"/>
        <v>741157</v>
      </c>
      <c r="T50" s="190">
        <f t="shared" si="20"/>
        <v>160326</v>
      </c>
      <c r="U50" s="190">
        <f t="shared" si="21"/>
        <v>380</v>
      </c>
      <c r="V50" s="190">
        <f t="shared" si="22"/>
        <v>0</v>
      </c>
      <c r="W50" s="190">
        <f t="shared" si="23"/>
        <v>0</v>
      </c>
      <c r="X50" s="190">
        <f t="shared" si="24"/>
        <v>0</v>
      </c>
      <c r="Y50" s="190">
        <f t="shared" si="25"/>
        <v>0</v>
      </c>
      <c r="Z50" s="190">
        <f t="shared" si="27"/>
        <v>160706</v>
      </c>
    </row>
    <row r="51" spans="1:27" s="190" customFormat="1">
      <c r="A51" s="199">
        <v>18</v>
      </c>
      <c r="B51" s="185" t="s">
        <v>92</v>
      </c>
      <c r="C51" s="185" t="s">
        <v>92</v>
      </c>
      <c r="D51" s="200">
        <f t="shared" si="29"/>
        <v>315594</v>
      </c>
      <c r="E51" s="200">
        <f t="shared" si="30"/>
        <v>1096027</v>
      </c>
      <c r="F51" s="200">
        <f t="shared" si="31"/>
        <v>1652821</v>
      </c>
      <c r="G51" s="200">
        <f t="shared" si="32"/>
        <v>493</v>
      </c>
      <c r="H51" s="200">
        <f t="shared" si="33"/>
        <v>857109</v>
      </c>
      <c r="I51" s="200">
        <f t="shared" si="34"/>
        <v>1161492</v>
      </c>
      <c r="J51" s="200">
        <f t="shared" si="35"/>
        <v>5083536</v>
      </c>
      <c r="K51" s="192"/>
      <c r="L51" s="190">
        <f t="shared" si="14"/>
        <v>315594</v>
      </c>
      <c r="M51" s="190">
        <f t="shared" si="15"/>
        <v>1094572</v>
      </c>
      <c r="N51" s="190">
        <f t="shared" si="16"/>
        <v>1616146</v>
      </c>
      <c r="O51" s="190">
        <f t="shared" si="17"/>
        <v>493</v>
      </c>
      <c r="P51" s="190">
        <f t="shared" si="18"/>
        <v>857109</v>
      </c>
      <c r="Q51" s="190">
        <f t="shared" si="19"/>
        <v>1158694</v>
      </c>
      <c r="R51" s="190">
        <f t="shared" si="26"/>
        <v>5042608</v>
      </c>
      <c r="T51" s="190">
        <f t="shared" si="20"/>
        <v>0</v>
      </c>
      <c r="U51" s="190">
        <f t="shared" si="21"/>
        <v>1455</v>
      </c>
      <c r="V51" s="190">
        <f t="shared" si="22"/>
        <v>36675</v>
      </c>
      <c r="W51" s="190">
        <f t="shared" si="23"/>
        <v>0</v>
      </c>
      <c r="X51" s="190">
        <f t="shared" si="24"/>
        <v>0</v>
      </c>
      <c r="Y51" s="190">
        <f t="shared" si="25"/>
        <v>2798</v>
      </c>
      <c r="Z51" s="190">
        <f t="shared" si="27"/>
        <v>40928</v>
      </c>
    </row>
    <row r="52" spans="1:27" s="190" customFormat="1">
      <c r="A52" s="199">
        <v>19</v>
      </c>
      <c r="B52" s="185" t="s">
        <v>72</v>
      </c>
      <c r="C52" s="185" t="s">
        <v>72</v>
      </c>
      <c r="D52" s="200">
        <f t="shared" si="29"/>
        <v>1612125</v>
      </c>
      <c r="E52" s="200">
        <f t="shared" si="30"/>
        <v>328088</v>
      </c>
      <c r="F52" s="200">
        <f t="shared" si="31"/>
        <v>140941</v>
      </c>
      <c r="G52" s="200">
        <f t="shared" si="32"/>
        <v>13376</v>
      </c>
      <c r="H52" s="200">
        <f t="shared" si="33"/>
        <v>2270</v>
      </c>
      <c r="I52" s="200">
        <f t="shared" si="34"/>
        <v>18672</v>
      </c>
      <c r="J52" s="200">
        <f t="shared" si="35"/>
        <v>2115472</v>
      </c>
      <c r="K52" s="192"/>
      <c r="L52" s="190">
        <f t="shared" si="14"/>
        <v>1551608</v>
      </c>
      <c r="M52" s="190">
        <f t="shared" si="15"/>
        <v>323776</v>
      </c>
      <c r="N52" s="190">
        <f t="shared" si="16"/>
        <v>140941</v>
      </c>
      <c r="O52" s="190">
        <f t="shared" si="17"/>
        <v>13376</v>
      </c>
      <c r="P52" s="190">
        <f t="shared" si="18"/>
        <v>2270</v>
      </c>
      <c r="Q52" s="190">
        <f t="shared" si="19"/>
        <v>18672</v>
      </c>
      <c r="R52" s="190">
        <f t="shared" si="26"/>
        <v>2050643</v>
      </c>
      <c r="T52" s="190">
        <f t="shared" si="20"/>
        <v>60517</v>
      </c>
      <c r="U52" s="190">
        <f t="shared" si="21"/>
        <v>4312</v>
      </c>
      <c r="V52" s="190">
        <f t="shared" si="22"/>
        <v>0</v>
      </c>
      <c r="W52" s="190">
        <f t="shared" si="23"/>
        <v>0</v>
      </c>
      <c r="X52" s="190">
        <f t="shared" si="24"/>
        <v>0</v>
      </c>
      <c r="Y52" s="190">
        <f t="shared" si="25"/>
        <v>0</v>
      </c>
      <c r="Z52" s="190">
        <f t="shared" si="27"/>
        <v>64829</v>
      </c>
    </row>
    <row r="53" spans="1:27" s="190" customFormat="1">
      <c r="A53" s="199">
        <v>20</v>
      </c>
      <c r="B53" s="185" t="s">
        <v>143</v>
      </c>
      <c r="C53" s="185" t="s">
        <v>143</v>
      </c>
      <c r="D53" s="200">
        <f t="shared" si="29"/>
        <v>107161</v>
      </c>
      <c r="E53" s="200">
        <f t="shared" si="30"/>
        <v>144548</v>
      </c>
      <c r="F53" s="200">
        <f t="shared" si="31"/>
        <v>80101</v>
      </c>
      <c r="G53" s="200">
        <f t="shared" si="32"/>
        <v>9838</v>
      </c>
      <c r="H53" s="200">
        <f t="shared" si="33"/>
        <v>722622</v>
      </c>
      <c r="I53" s="200">
        <f t="shared" si="34"/>
        <v>5073</v>
      </c>
      <c r="J53" s="200">
        <f t="shared" si="35"/>
        <v>1069343</v>
      </c>
      <c r="K53" s="192"/>
      <c r="L53" s="190">
        <f t="shared" si="14"/>
        <v>107161</v>
      </c>
      <c r="M53" s="190">
        <f t="shared" si="15"/>
        <v>134065</v>
      </c>
      <c r="N53" s="190">
        <f t="shared" si="16"/>
        <v>80101</v>
      </c>
      <c r="O53" s="190">
        <f t="shared" si="17"/>
        <v>9838</v>
      </c>
      <c r="P53" s="190">
        <f t="shared" si="18"/>
        <v>554835</v>
      </c>
      <c r="Q53" s="190">
        <f t="shared" si="19"/>
        <v>5073</v>
      </c>
      <c r="R53" s="190">
        <f t="shared" si="26"/>
        <v>891073</v>
      </c>
      <c r="T53" s="190">
        <f t="shared" si="20"/>
        <v>0</v>
      </c>
      <c r="U53" s="190">
        <f t="shared" si="21"/>
        <v>10483</v>
      </c>
      <c r="V53" s="190">
        <f t="shared" si="22"/>
        <v>0</v>
      </c>
      <c r="W53" s="190">
        <f t="shared" si="23"/>
        <v>0</v>
      </c>
      <c r="X53" s="190">
        <f t="shared" si="24"/>
        <v>167787</v>
      </c>
      <c r="Y53" s="190">
        <f t="shared" si="25"/>
        <v>0</v>
      </c>
      <c r="Z53" s="190">
        <f t="shared" si="27"/>
        <v>178270</v>
      </c>
    </row>
    <row r="54" spans="1:27" s="190" customFormat="1">
      <c r="A54" s="199">
        <v>21</v>
      </c>
      <c r="B54" s="185" t="s">
        <v>92</v>
      </c>
      <c r="C54" s="185" t="s">
        <v>144</v>
      </c>
      <c r="D54" s="200">
        <f t="shared" si="29"/>
        <v>237399</v>
      </c>
      <c r="E54" s="200">
        <f t="shared" si="30"/>
        <v>533443</v>
      </c>
      <c r="F54" s="200">
        <f t="shared" si="31"/>
        <v>801195</v>
      </c>
      <c r="G54" s="200">
        <f t="shared" si="32"/>
        <v>492</v>
      </c>
      <c r="H54" s="200">
        <f t="shared" si="33"/>
        <v>602109</v>
      </c>
      <c r="I54" s="200">
        <f t="shared" si="34"/>
        <v>517399</v>
      </c>
      <c r="J54" s="200">
        <f t="shared" si="35"/>
        <v>2692037</v>
      </c>
      <c r="K54" s="201">
        <f>J54/SUM($J$54:$J$55)</f>
        <v>0.55102521622120615</v>
      </c>
      <c r="L54" s="190">
        <f t="shared" si="14"/>
        <v>237399</v>
      </c>
      <c r="M54" s="190">
        <f t="shared" si="15"/>
        <v>532519</v>
      </c>
      <c r="N54" s="190">
        <f t="shared" si="16"/>
        <v>764520</v>
      </c>
      <c r="O54" s="190">
        <f t="shared" si="17"/>
        <v>492</v>
      </c>
      <c r="P54" s="190">
        <f t="shared" si="18"/>
        <v>602109</v>
      </c>
      <c r="Q54" s="190">
        <f t="shared" si="19"/>
        <v>514601</v>
      </c>
      <c r="R54" s="190">
        <f t="shared" si="26"/>
        <v>2651640</v>
      </c>
      <c r="S54" s="201">
        <f>R54/SUM(R$54:R$55)</f>
        <v>0.5473417911735553</v>
      </c>
      <c r="T54" s="190">
        <f t="shared" si="20"/>
        <v>0</v>
      </c>
      <c r="U54" s="190">
        <f t="shared" si="21"/>
        <v>924</v>
      </c>
      <c r="V54" s="190">
        <f t="shared" si="22"/>
        <v>36675</v>
      </c>
      <c r="W54" s="190">
        <f t="shared" si="23"/>
        <v>0</v>
      </c>
      <c r="X54" s="190">
        <f t="shared" si="24"/>
        <v>0</v>
      </c>
      <c r="Y54" s="190">
        <f t="shared" si="25"/>
        <v>2798</v>
      </c>
      <c r="Z54" s="190">
        <f t="shared" si="27"/>
        <v>40397</v>
      </c>
      <c r="AA54" s="201">
        <f>Z54/SUM(Z$54:Z$55)</f>
        <v>0.98702599687255665</v>
      </c>
    </row>
    <row r="55" spans="1:27" s="190" customFormat="1">
      <c r="A55" s="199">
        <v>22</v>
      </c>
      <c r="B55" s="185" t="s">
        <v>92</v>
      </c>
      <c r="C55" s="185" t="s">
        <v>146</v>
      </c>
      <c r="D55" s="200">
        <f t="shared" si="29"/>
        <v>76624</v>
      </c>
      <c r="E55" s="200">
        <f t="shared" si="30"/>
        <v>561867</v>
      </c>
      <c r="F55" s="200">
        <f t="shared" si="31"/>
        <v>782451</v>
      </c>
      <c r="G55" s="200">
        <f t="shared" si="32"/>
        <v>1</v>
      </c>
      <c r="H55" s="200">
        <f t="shared" si="33"/>
        <v>255000</v>
      </c>
      <c r="I55" s="200">
        <f t="shared" si="34"/>
        <v>517526</v>
      </c>
      <c r="J55" s="200">
        <f t="shared" si="35"/>
        <v>2193469</v>
      </c>
      <c r="K55" s="201">
        <f>J55/SUM($J$54:$J$55)</f>
        <v>0.44897478377879385</v>
      </c>
      <c r="L55" s="190">
        <f t="shared" si="14"/>
        <v>76624</v>
      </c>
      <c r="M55" s="190">
        <f t="shared" si="15"/>
        <v>561336</v>
      </c>
      <c r="N55" s="190">
        <f t="shared" si="16"/>
        <v>782451</v>
      </c>
      <c r="O55" s="190">
        <f t="shared" si="17"/>
        <v>1</v>
      </c>
      <c r="P55" s="190">
        <f t="shared" si="18"/>
        <v>255000</v>
      </c>
      <c r="Q55" s="190">
        <f t="shared" si="19"/>
        <v>517526</v>
      </c>
      <c r="R55" s="190">
        <f t="shared" si="26"/>
        <v>2192938</v>
      </c>
      <c r="S55" s="201">
        <f>R55/SUM(R$54:R$55)</f>
        <v>0.45265820882644475</v>
      </c>
      <c r="T55" s="190">
        <f t="shared" si="20"/>
        <v>0</v>
      </c>
      <c r="U55" s="190">
        <f t="shared" si="21"/>
        <v>531</v>
      </c>
      <c r="V55" s="190">
        <f t="shared" si="22"/>
        <v>0</v>
      </c>
      <c r="W55" s="190">
        <f t="shared" si="23"/>
        <v>0</v>
      </c>
      <c r="X55" s="190">
        <f t="shared" si="24"/>
        <v>0</v>
      </c>
      <c r="Y55" s="190">
        <f t="shared" si="25"/>
        <v>0</v>
      </c>
      <c r="Z55" s="190">
        <f t="shared" si="27"/>
        <v>531</v>
      </c>
      <c r="AA55" s="201">
        <f>Z55/SUM(Z$54:Z$55)</f>
        <v>1.2974003127443316E-2</v>
      </c>
    </row>
    <row r="56" spans="1:27" s="190" customFormat="1">
      <c r="A56" s="199">
        <v>23</v>
      </c>
      <c r="B56" s="185" t="s">
        <v>72</v>
      </c>
      <c r="C56" s="185" t="s">
        <v>166</v>
      </c>
      <c r="D56" s="200">
        <f>L56+T56</f>
        <v>1448248</v>
      </c>
      <c r="E56" s="200">
        <f t="shared" si="30"/>
        <v>38064</v>
      </c>
      <c r="F56" s="200">
        <f t="shared" si="31"/>
        <v>12240</v>
      </c>
      <c r="G56" s="200">
        <f t="shared" si="32"/>
        <v>0</v>
      </c>
      <c r="H56" s="200">
        <f t="shared" si="33"/>
        <v>0</v>
      </c>
      <c r="I56" s="200">
        <f t="shared" si="34"/>
        <v>1654</v>
      </c>
      <c r="J56" s="200">
        <f t="shared" si="35"/>
        <v>1500206</v>
      </c>
      <c r="K56" s="201">
        <f>J56/SUM(J$56:J$57)</f>
        <v>0.70915899619564804</v>
      </c>
      <c r="L56" s="190">
        <f>VLOOKUP(C56,$A$64:$U$201,2,0)-B$177</f>
        <v>1387731</v>
      </c>
      <c r="M56" s="190">
        <f>VLOOKUP(C56,$A$64:$U$201,3,0)-C177</f>
        <v>36064</v>
      </c>
      <c r="N56" s="190">
        <f>VLOOKUP(C56,$A$64:$U$201,4,0)-D177</f>
        <v>12240</v>
      </c>
      <c r="O56" s="190">
        <f>VLOOKUP(C56,$A$64:$U$201,5,0)-E177</f>
        <v>0</v>
      </c>
      <c r="P56" s="190">
        <f>VLOOKUP(C56,$A$64:$U$201,6,0)-F177</f>
        <v>0</v>
      </c>
      <c r="Q56" s="190">
        <f>VLOOKUP(C56,$A$64:$U$201,7,0)-G177</f>
        <v>1654</v>
      </c>
      <c r="R56" s="190">
        <f t="shared" si="26"/>
        <v>1437689</v>
      </c>
      <c r="S56" s="201">
        <f>R56/SUM(R$56:R$57)</f>
        <v>0.70109180388785375</v>
      </c>
      <c r="T56" s="190">
        <f>VLOOKUP(C56,$A$64:$U$201,9,0)-I177</f>
        <v>60517</v>
      </c>
      <c r="U56" s="190">
        <f>VLOOKUP(C56,$A$64:$U$201,10,0)-J177</f>
        <v>2000</v>
      </c>
      <c r="V56" s="190">
        <f>VLOOKUP(C56,$A$64:$U$201,11,0)-K177</f>
        <v>0</v>
      </c>
      <c r="W56" s="190">
        <f>VLOOKUP(C56,$A$64:$U$201,12,0)-L177</f>
        <v>0</v>
      </c>
      <c r="X56" s="190">
        <f>VLOOKUP(C56,$A$64:$U$201,13,0)-M177</f>
        <v>0</v>
      </c>
      <c r="Y56" s="190">
        <f>VLOOKUP(C56,$A$64:$U$201,14,0)-N177</f>
        <v>0</v>
      </c>
      <c r="Z56" s="190">
        <f t="shared" si="27"/>
        <v>62517</v>
      </c>
      <c r="AA56" s="201">
        <f>Z56/SUM(Z$56:Z$57)</f>
        <v>0.96433694797081548</v>
      </c>
    </row>
    <row r="57" spans="1:27" s="190" customFormat="1">
      <c r="A57" s="199">
        <v>24</v>
      </c>
      <c r="B57" s="185" t="s">
        <v>72</v>
      </c>
      <c r="C57" s="185" t="s">
        <v>148</v>
      </c>
      <c r="D57" s="200">
        <f t="shared" si="29"/>
        <v>163877</v>
      </c>
      <c r="E57" s="200">
        <f t="shared" si="30"/>
        <v>290024</v>
      </c>
      <c r="F57" s="200">
        <f t="shared" si="31"/>
        <v>128701</v>
      </c>
      <c r="G57" s="200">
        <f t="shared" si="32"/>
        <v>13376</v>
      </c>
      <c r="H57" s="200">
        <f t="shared" si="33"/>
        <v>2270</v>
      </c>
      <c r="I57" s="200">
        <f t="shared" si="34"/>
        <v>17018</v>
      </c>
      <c r="J57" s="200">
        <f t="shared" si="35"/>
        <v>615266</v>
      </c>
      <c r="K57" s="201">
        <f>J57/SUM(J$56:J$57)</f>
        <v>0.29084100380435196</v>
      </c>
      <c r="L57" s="190">
        <f t="shared" si="14"/>
        <v>163877</v>
      </c>
      <c r="M57" s="190">
        <f t="shared" si="15"/>
        <v>287712</v>
      </c>
      <c r="N57" s="190">
        <f t="shared" si="16"/>
        <v>128701</v>
      </c>
      <c r="O57" s="190">
        <f t="shared" si="17"/>
        <v>13376</v>
      </c>
      <c r="P57" s="190">
        <f t="shared" si="18"/>
        <v>2270</v>
      </c>
      <c r="Q57" s="190">
        <f t="shared" si="19"/>
        <v>17018</v>
      </c>
      <c r="R57" s="190">
        <f t="shared" si="26"/>
        <v>612954</v>
      </c>
      <c r="S57" s="201">
        <f>R57/SUM(R$56:R$57)</f>
        <v>0.29890819611214631</v>
      </c>
      <c r="T57" s="190">
        <f t="shared" si="20"/>
        <v>0</v>
      </c>
      <c r="U57" s="190">
        <f t="shared" si="21"/>
        <v>2312</v>
      </c>
      <c r="V57" s="190">
        <f t="shared" si="22"/>
        <v>0</v>
      </c>
      <c r="W57" s="190">
        <f t="shared" si="23"/>
        <v>0</v>
      </c>
      <c r="X57" s="190">
        <f t="shared" si="24"/>
        <v>0</v>
      </c>
      <c r="Y57" s="190">
        <f t="shared" si="25"/>
        <v>0</v>
      </c>
      <c r="Z57" s="190">
        <f t="shared" si="27"/>
        <v>2312</v>
      </c>
      <c r="AA57" s="201">
        <f>Z57/SUM(Z$56:Z$57)</f>
        <v>3.5663052029184468E-2</v>
      </c>
    </row>
    <row r="58" spans="1:27" s="190" customFormat="1">
      <c r="A58" s="199">
        <v>25</v>
      </c>
      <c r="B58" s="185" t="s">
        <v>143</v>
      </c>
      <c r="C58" s="185" t="s">
        <v>149</v>
      </c>
      <c r="D58" s="200">
        <f t="shared" si="29"/>
        <v>0</v>
      </c>
      <c r="E58" s="200">
        <f t="shared" si="30"/>
        <v>0</v>
      </c>
      <c r="F58" s="200">
        <f t="shared" si="31"/>
        <v>0</v>
      </c>
      <c r="G58" s="200">
        <f t="shared" si="32"/>
        <v>0</v>
      </c>
      <c r="H58" s="200">
        <f t="shared" si="33"/>
        <v>718658</v>
      </c>
      <c r="I58" s="200">
        <f t="shared" si="34"/>
        <v>0</v>
      </c>
      <c r="J58" s="200">
        <f t="shared" si="35"/>
        <v>718658</v>
      </c>
      <c r="K58" s="201">
        <f>J58/SUM(J$58:J$59)</f>
        <v>0.67205564538225804</v>
      </c>
      <c r="L58" s="190">
        <f t="shared" si="14"/>
        <v>0</v>
      </c>
      <c r="M58" s="190">
        <f t="shared" si="15"/>
        <v>0</v>
      </c>
      <c r="N58" s="190">
        <f t="shared" si="16"/>
        <v>0</v>
      </c>
      <c r="O58" s="190">
        <f t="shared" si="17"/>
        <v>0</v>
      </c>
      <c r="P58" s="190">
        <f t="shared" si="18"/>
        <v>550871</v>
      </c>
      <c r="Q58" s="190">
        <f t="shared" si="19"/>
        <v>0</v>
      </c>
      <c r="R58" s="190">
        <f t="shared" si="26"/>
        <v>550871</v>
      </c>
      <c r="S58" s="201">
        <f>R58/SUM(R$58:R$59)</f>
        <v>0.61821085365620998</v>
      </c>
      <c r="T58" s="190">
        <f t="shared" si="20"/>
        <v>0</v>
      </c>
      <c r="U58" s="190">
        <f t="shared" si="21"/>
        <v>0</v>
      </c>
      <c r="V58" s="190">
        <f t="shared" si="22"/>
        <v>0</v>
      </c>
      <c r="W58" s="190">
        <f t="shared" si="23"/>
        <v>0</v>
      </c>
      <c r="X58" s="190">
        <f t="shared" si="24"/>
        <v>167787</v>
      </c>
      <c r="Y58" s="190">
        <f t="shared" si="25"/>
        <v>0</v>
      </c>
      <c r="Z58" s="190">
        <f t="shared" si="27"/>
        <v>167787</v>
      </c>
      <c r="AA58" s="201">
        <f>Z58/SUM(Z$58:Z$59)</f>
        <v>0.94119593874460084</v>
      </c>
    </row>
    <row r="59" spans="1:27" s="190" customFormat="1">
      <c r="A59" s="199">
        <v>26</v>
      </c>
      <c r="B59" s="185" t="s">
        <v>143</v>
      </c>
      <c r="C59" s="185" t="s">
        <v>150</v>
      </c>
      <c r="D59" s="200">
        <f t="shared" si="29"/>
        <v>107161</v>
      </c>
      <c r="E59" s="200">
        <f t="shared" si="30"/>
        <v>144548</v>
      </c>
      <c r="F59" s="200">
        <f t="shared" si="31"/>
        <v>80101</v>
      </c>
      <c r="G59" s="200">
        <f t="shared" si="32"/>
        <v>9838</v>
      </c>
      <c r="H59" s="200">
        <f t="shared" si="33"/>
        <v>3964</v>
      </c>
      <c r="I59" s="200">
        <f t="shared" si="34"/>
        <v>5073</v>
      </c>
      <c r="J59" s="200">
        <f t="shared" si="35"/>
        <v>350685</v>
      </c>
      <c r="K59" s="201">
        <f>J59/SUM(J$58:J$59)</f>
        <v>0.32794435461774191</v>
      </c>
      <c r="L59" s="190" cm="1">
        <f t="array" ref="L59">SUM(VLOOKUP("Land Rover",$A$64:$T$201,{2},FALSE))+SUM(VLOOKUP("Jaguar",$A$64:$T$201,{2},FALSE))</f>
        <v>107161</v>
      </c>
      <c r="M59" s="190" cm="1">
        <f t="array" ref="M59">SUM(VLOOKUP("Land Rover",$A$64:$T$201,{3},FALSE))+SUM(VLOOKUP("Jaguar",$A$64:$T$201,{3},FALSE))</f>
        <v>134065</v>
      </c>
      <c r="N59" s="190" cm="1">
        <f t="array" ref="N59">SUM(VLOOKUP("Land Rover",$A$64:$T$201,{4},FALSE))+SUM(VLOOKUP("Jaguar",$A$64:$T$201,{4},FALSE))</f>
        <v>80101</v>
      </c>
      <c r="O59" s="190" cm="1">
        <f t="array" ref="O59">SUM(VLOOKUP("Land Rover",$A$64:$T$201,{5},FALSE))+SUM(VLOOKUP("Jaguar",$A$64:$T$201,{5},FALSE))</f>
        <v>9838</v>
      </c>
      <c r="P59" s="190" cm="1">
        <f t="array" ref="P59">SUM(VLOOKUP("Land Rover",$A$64:$T$201,{6},FALSE))+SUM(VLOOKUP("Jaguar",$A$64:$T$201,{6},FALSE))</f>
        <v>3964</v>
      </c>
      <c r="Q59" s="190" cm="1">
        <f t="array" ref="Q59">SUM(VLOOKUP("Land Rover",$A$64:$T$201,{7},FALSE))+SUM(VLOOKUP("Jaguar",$A$64:$T$201,{7},FALSE))</f>
        <v>5073</v>
      </c>
      <c r="R59" s="190">
        <f t="shared" si="26"/>
        <v>340202</v>
      </c>
      <c r="S59" s="201">
        <f>R59/SUM(R$58:R$59)</f>
        <v>0.38178914634379002</v>
      </c>
      <c r="T59" s="190" cm="1">
        <f t="array" ref="T59">SUM(VLOOKUP("Land Rover",$A$64:$T$201,{9},FALSE))+SUM(VLOOKUP("Jaguar",$A$64:$T$201,{9},FALSE))</f>
        <v>0</v>
      </c>
      <c r="U59" s="190" cm="1">
        <f t="array" ref="U59">SUM(VLOOKUP("Land Rover",$A$64:$T$201,{10},FALSE))+SUM(VLOOKUP("Jaguar",$A$64:$T$201,{10},FALSE))</f>
        <v>10483</v>
      </c>
      <c r="V59" s="190" cm="1">
        <f t="array" ref="V59">SUM(VLOOKUP("Land Rover",$A$64:$T$201,{11},FALSE))+SUM(VLOOKUP("Jaguar",$A$64:$T$201,{11},FALSE))</f>
        <v>0</v>
      </c>
      <c r="W59" s="190" cm="1">
        <f t="array" ref="W59">SUM(VLOOKUP("Land Rover",$A$64:$T$201,{12},FALSE))+SUM(VLOOKUP("Jaguar",$A$64:$T$201,{12},FALSE))</f>
        <v>0</v>
      </c>
      <c r="X59" s="190" cm="1">
        <f t="array" ref="X59">SUM(VLOOKUP("Land Rover",$A$64:$T$201,{13},FALSE))+SUM(VLOOKUP("Jaguar",$A$64:$T$201,{13},FALSE))</f>
        <v>0</v>
      </c>
      <c r="Y59" s="190" cm="1">
        <f t="array" ref="Y59">SUM(VLOOKUP("Land Rover",$A$64:$T$201,{14},FALSE))+SUM(VLOOKUP("Jaguar",$A$64:$T$201,{14},FALSE))</f>
        <v>0</v>
      </c>
      <c r="Z59" s="190">
        <f>SUM(T59:Y59)</f>
        <v>10483</v>
      </c>
      <c r="AA59" s="201">
        <f>Z59/SUM(Z$58:Z$59)</f>
        <v>5.8804061255399116E-2</v>
      </c>
    </row>
    <row r="60" spans="1:27" s="190" customFormat="1">
      <c r="A60" s="199">
        <v>28</v>
      </c>
      <c r="B60" s="185" t="s">
        <v>98</v>
      </c>
      <c r="C60" s="185" t="s">
        <v>98</v>
      </c>
      <c r="D60" s="200">
        <f t="shared" si="29"/>
        <v>86500</v>
      </c>
      <c r="E60" s="200">
        <f t="shared" si="30"/>
        <v>182195</v>
      </c>
      <c r="F60" s="200">
        <f t="shared" si="31"/>
        <v>363354</v>
      </c>
      <c r="G60" s="200">
        <f t="shared" si="32"/>
        <v>177490</v>
      </c>
      <c r="H60" s="200">
        <f t="shared" si="33"/>
        <v>0</v>
      </c>
      <c r="I60" s="200">
        <f t="shared" si="34"/>
        <v>0</v>
      </c>
      <c r="J60" s="200">
        <f t="shared" si="35"/>
        <v>809539</v>
      </c>
      <c r="K60" s="192"/>
      <c r="L60" s="190">
        <f>VLOOKUP(C60,$A$64:$U$201,2,0)</f>
        <v>86500</v>
      </c>
      <c r="M60" s="190">
        <f>VLOOKUP(C60,$A$64:$U$201,3,0)</f>
        <v>182074</v>
      </c>
      <c r="N60" s="190">
        <f>VLOOKUP(C60,$A$64:$U$201,4,0)</f>
        <v>363354</v>
      </c>
      <c r="O60" s="190">
        <f>VLOOKUP(C60,$A$64:$U$201,5,0)</f>
        <v>173721</v>
      </c>
      <c r="P60" s="190">
        <f>VLOOKUP(C60,$A$64:$U$201,6,0)</f>
        <v>0</v>
      </c>
      <c r="Q60" s="190">
        <f>VLOOKUP(C60,$A$64:$U$201,7,0)</f>
        <v>0</v>
      </c>
      <c r="R60" s="190">
        <f t="shared" si="26"/>
        <v>805649</v>
      </c>
      <c r="T60" s="190">
        <f>VLOOKUP(C60,$A$64:$U$201,9,0)</f>
        <v>0</v>
      </c>
      <c r="U60" s="190">
        <f>VLOOKUP(C60,$A$64:$U$201,10,0)</f>
        <v>121</v>
      </c>
      <c r="V60" s="190">
        <f>VLOOKUP(C60,$A$64:$U$201,11,0)</f>
        <v>0</v>
      </c>
      <c r="W60" s="190">
        <f>VLOOKUP(C60,$A$64:$U$201,12,0)</f>
        <v>3769</v>
      </c>
      <c r="X60" s="190">
        <f>VLOOKUP(C60,$A$64:$U$201,13,0)</f>
        <v>0</v>
      </c>
      <c r="Y60" s="190">
        <f>VLOOKUP(C60,$A$64:$U$201,14,0)</f>
        <v>0</v>
      </c>
      <c r="Z60" s="190">
        <f t="shared" si="27"/>
        <v>3890</v>
      </c>
    </row>
    <row r="61" spans="1:27" s="190" customFormat="1">
      <c r="A61" s="199">
        <v>16</v>
      </c>
      <c r="B61" s="185" t="s">
        <v>90</v>
      </c>
      <c r="C61" s="185" t="s">
        <v>90</v>
      </c>
      <c r="D61" s="202">
        <f t="shared" si="29"/>
        <v>775250</v>
      </c>
      <c r="E61" s="203">
        <f t="shared" si="30"/>
        <v>0</v>
      </c>
      <c r="F61" s="202">
        <f t="shared" si="31"/>
        <v>0</v>
      </c>
      <c r="G61" s="202">
        <f t="shared" si="32"/>
        <v>0</v>
      </c>
      <c r="H61" s="203">
        <f t="shared" si="33"/>
        <v>0</v>
      </c>
      <c r="I61" s="202">
        <f t="shared" si="34"/>
        <v>0</v>
      </c>
      <c r="J61" s="200">
        <f t="shared" si="35"/>
        <v>775250</v>
      </c>
      <c r="L61" s="190">
        <f>VLOOKUP(C61,$A$64:$U$201,2,0)</f>
        <v>742320</v>
      </c>
      <c r="M61" s="190">
        <f>VLOOKUP(C61,$A$64:$U$201,3,0)</f>
        <v>0</v>
      </c>
      <c r="N61" s="190">
        <f>VLOOKUP(C61,$A$64:$U$201,4,0)</f>
        <v>0</v>
      </c>
      <c r="O61" s="190">
        <f>VLOOKUP(C61,$A$64:$U$201,5,0)</f>
        <v>0</v>
      </c>
      <c r="P61" s="190">
        <f>VLOOKUP(C61,$A$64:$U$201,6,0)</f>
        <v>0</v>
      </c>
      <c r="Q61" s="190">
        <f>VLOOKUP(C61,$A$64:$U$201,7,0)</f>
        <v>0</v>
      </c>
      <c r="R61" s="190">
        <f t="shared" si="26"/>
        <v>742320</v>
      </c>
      <c r="T61" s="190">
        <f>VLOOKUP(C61,$A$64:$U$201,9,0)</f>
        <v>32930</v>
      </c>
      <c r="U61" s="190">
        <f>VLOOKUP(C61,$A$64:$U$201,10,0)</f>
        <v>0</v>
      </c>
      <c r="V61" s="190">
        <f>VLOOKUP(C61,$A$64:$U$201,11,0)</f>
        <v>0</v>
      </c>
      <c r="W61" s="190">
        <f>VLOOKUP(C61,$A$64:$U$201,12,0)</f>
        <v>0</v>
      </c>
      <c r="X61" s="190">
        <f>VLOOKUP(C61,$A$64:$U$201,13,0)</f>
        <v>0</v>
      </c>
      <c r="Y61" s="190">
        <f>VLOOKUP(C61,$A$64:$U$201,14,0)</f>
        <v>0</v>
      </c>
      <c r="Z61" s="190">
        <f t="shared" si="27"/>
        <v>32930</v>
      </c>
    </row>
    <row r="62" spans="1:27" s="190" customFormat="1">
      <c r="D62" s="188"/>
      <c r="E62" s="189"/>
      <c r="F62" s="188"/>
      <c r="G62" s="188"/>
      <c r="H62" s="189"/>
      <c r="I62" s="188"/>
      <c r="J62" s="188">
        <f>SUM(J35:J53,J60,J61)</f>
        <v>58697423</v>
      </c>
    </row>
    <row r="63" spans="1:27" s="190" customFormat="1">
      <c r="A63" s="204" t="s">
        <v>167</v>
      </c>
    </row>
    <row r="64" spans="1:27" s="190" customFormat="1">
      <c r="A64" s="502" t="s">
        <v>159</v>
      </c>
      <c r="B64" s="504" t="s">
        <v>156</v>
      </c>
      <c r="C64" s="504"/>
      <c r="D64" s="504"/>
      <c r="E64" s="504"/>
      <c r="F64" s="504"/>
      <c r="G64" s="504"/>
      <c r="H64" s="504"/>
      <c r="I64" s="504" t="s">
        <v>157</v>
      </c>
      <c r="J64" s="504"/>
      <c r="K64" s="504"/>
      <c r="L64" s="504"/>
      <c r="M64" s="504"/>
      <c r="N64" s="504"/>
      <c r="O64" s="504"/>
      <c r="P64" s="504" t="s">
        <v>155</v>
      </c>
      <c r="Q64" s="504"/>
      <c r="R64" s="504"/>
      <c r="S64" s="504"/>
      <c r="T64" s="504"/>
      <c r="U64" s="504"/>
      <c r="V64" s="504"/>
      <c r="W64" s="502" t="s">
        <v>168</v>
      </c>
    </row>
    <row r="65" spans="1:25" s="190" customFormat="1">
      <c r="A65" s="502"/>
      <c r="B65" s="204" t="s">
        <v>134</v>
      </c>
      <c r="C65" s="204" t="s">
        <v>135</v>
      </c>
      <c r="D65" s="204" t="s">
        <v>136</v>
      </c>
      <c r="E65" s="204" t="s">
        <v>137</v>
      </c>
      <c r="F65" s="204" t="s">
        <v>138</v>
      </c>
      <c r="G65" s="204" t="s">
        <v>139</v>
      </c>
      <c r="H65" s="204" t="s">
        <v>145</v>
      </c>
      <c r="I65" s="204" t="s">
        <v>134</v>
      </c>
      <c r="J65" s="204" t="s">
        <v>135</v>
      </c>
      <c r="K65" s="204" t="s">
        <v>136</v>
      </c>
      <c r="L65" s="204" t="s">
        <v>137</v>
      </c>
      <c r="M65" s="204" t="s">
        <v>138</v>
      </c>
      <c r="N65" s="204" t="s">
        <v>139</v>
      </c>
      <c r="O65" s="204" t="s">
        <v>145</v>
      </c>
      <c r="P65" s="204" t="s">
        <v>134</v>
      </c>
      <c r="Q65" s="204" t="s">
        <v>135</v>
      </c>
      <c r="R65" s="204" t="s">
        <v>136</v>
      </c>
      <c r="S65" s="204" t="s">
        <v>137</v>
      </c>
      <c r="T65" s="204" t="s">
        <v>138</v>
      </c>
      <c r="U65" s="204" t="s">
        <v>139</v>
      </c>
      <c r="V65" s="205" t="s">
        <v>145</v>
      </c>
      <c r="W65" s="502"/>
      <c r="Y65" s="184" t="s">
        <v>169</v>
      </c>
    </row>
    <row r="66" spans="1:25" s="184" customFormat="1">
      <c r="A66" s="206" t="s">
        <v>94</v>
      </c>
      <c r="B66" s="206">
        <v>1879064</v>
      </c>
      <c r="C66" s="206">
        <v>889465</v>
      </c>
      <c r="D66" s="206">
        <v>1888524</v>
      </c>
      <c r="E66" s="206">
        <v>2141602</v>
      </c>
      <c r="F66" s="206">
        <v>220115</v>
      </c>
      <c r="G66" s="206">
        <v>22056</v>
      </c>
      <c r="H66" s="206">
        <v>7040826</v>
      </c>
      <c r="I66" s="206">
        <v>1536</v>
      </c>
      <c r="J66" s="206">
        <v>97579</v>
      </c>
      <c r="K66" s="206">
        <v>359953</v>
      </c>
      <c r="L66" s="206">
        <v>108348</v>
      </c>
      <c r="M66" s="206">
        <v>2332</v>
      </c>
      <c r="N66" s="206">
        <v>0</v>
      </c>
      <c r="O66" s="206">
        <v>569748</v>
      </c>
      <c r="P66" s="206">
        <v>1880600</v>
      </c>
      <c r="Q66" s="206">
        <v>987044</v>
      </c>
      <c r="R66" s="206">
        <v>2248477</v>
      </c>
      <c r="S66" s="206">
        <v>2249950</v>
      </c>
      <c r="T66" s="206">
        <v>222447</v>
      </c>
      <c r="U66" s="206">
        <v>22056</v>
      </c>
      <c r="V66" s="206">
        <v>7610574</v>
      </c>
      <c r="W66" s="190" t="s">
        <v>77</v>
      </c>
    </row>
    <row r="67" spans="1:25" s="184" customFormat="1">
      <c r="A67" s="190" t="s">
        <v>170</v>
      </c>
      <c r="B67" s="190"/>
      <c r="C67" s="190"/>
      <c r="D67" s="190"/>
      <c r="E67" s="190">
        <v>594019</v>
      </c>
      <c r="F67" s="190"/>
      <c r="G67" s="190"/>
      <c r="H67" s="190">
        <v>594019</v>
      </c>
      <c r="I67" s="190"/>
      <c r="J67" s="190"/>
      <c r="K67" s="190"/>
      <c r="L67" s="190">
        <v>488</v>
      </c>
      <c r="M67" s="190"/>
      <c r="N67" s="190"/>
      <c r="O67" s="190">
        <v>488</v>
      </c>
      <c r="P67" s="190">
        <v>0</v>
      </c>
      <c r="Q67" s="190">
        <v>0</v>
      </c>
      <c r="R67" s="190">
        <v>0</v>
      </c>
      <c r="S67" s="190">
        <v>594507</v>
      </c>
      <c r="T67" s="190">
        <v>0</v>
      </c>
      <c r="U67" s="190">
        <v>0</v>
      </c>
      <c r="V67" s="190">
        <v>594507</v>
      </c>
      <c r="W67" s="190" t="s">
        <v>77</v>
      </c>
    </row>
    <row r="68" spans="1:25" s="184" customFormat="1">
      <c r="A68" s="190" t="s">
        <v>171</v>
      </c>
      <c r="B68" s="190">
        <v>179782</v>
      </c>
      <c r="C68" s="190">
        <v>60320</v>
      </c>
      <c r="D68" s="190">
        <v>320249</v>
      </c>
      <c r="E68" s="190">
        <v>94645</v>
      </c>
      <c r="F68" s="190">
        <v>1091</v>
      </c>
      <c r="G68" s="190">
        <v>13561</v>
      </c>
      <c r="H68" s="190">
        <v>669648</v>
      </c>
      <c r="I68" s="190"/>
      <c r="J68" s="190">
        <v>1</v>
      </c>
      <c r="K68" s="190"/>
      <c r="L68" s="190"/>
      <c r="M68" s="190"/>
      <c r="N68" s="190"/>
      <c r="O68" s="190">
        <v>1</v>
      </c>
      <c r="P68" s="190">
        <v>179782</v>
      </c>
      <c r="Q68" s="190">
        <v>60321</v>
      </c>
      <c r="R68" s="190">
        <v>320249</v>
      </c>
      <c r="S68" s="190">
        <v>94645</v>
      </c>
      <c r="T68" s="190">
        <v>1091</v>
      </c>
      <c r="U68" s="190">
        <v>13561</v>
      </c>
      <c r="V68" s="190">
        <v>669649</v>
      </c>
      <c r="W68" s="190" t="s">
        <v>77</v>
      </c>
    </row>
    <row r="69" spans="1:25" s="184" customFormat="1">
      <c r="A69" s="190" t="s">
        <v>172</v>
      </c>
      <c r="B69" s="190">
        <v>1699282</v>
      </c>
      <c r="C69" s="190">
        <v>829145</v>
      </c>
      <c r="D69" s="190">
        <v>1568275</v>
      </c>
      <c r="E69" s="190">
        <v>1452938</v>
      </c>
      <c r="F69" s="190">
        <v>219024</v>
      </c>
      <c r="G69" s="190">
        <v>8495</v>
      </c>
      <c r="H69" s="190">
        <v>5777159</v>
      </c>
      <c r="I69" s="190">
        <v>1536</v>
      </c>
      <c r="J69" s="190">
        <v>97578</v>
      </c>
      <c r="K69" s="190">
        <v>359953</v>
      </c>
      <c r="L69" s="190">
        <v>107860</v>
      </c>
      <c r="M69" s="190">
        <v>2332</v>
      </c>
      <c r="N69" s="190"/>
      <c r="O69" s="190">
        <v>569259</v>
      </c>
      <c r="P69" s="190">
        <v>1700818</v>
      </c>
      <c r="Q69" s="190">
        <v>926723</v>
      </c>
      <c r="R69" s="190">
        <v>1928228</v>
      </c>
      <c r="S69" s="190">
        <v>1560798</v>
      </c>
      <c r="T69" s="190">
        <v>221356</v>
      </c>
      <c r="U69" s="190">
        <v>8495</v>
      </c>
      <c r="V69" s="190">
        <v>6346418</v>
      </c>
      <c r="W69" s="190" t="s">
        <v>77</v>
      </c>
    </row>
    <row r="70" spans="1:25" s="184" customFormat="1">
      <c r="A70" s="204" t="s">
        <v>78</v>
      </c>
      <c r="B70" s="204">
        <v>3155540</v>
      </c>
      <c r="C70" s="204">
        <v>3312806</v>
      </c>
      <c r="D70" s="204">
        <v>639648</v>
      </c>
      <c r="E70" s="204">
        <v>65805</v>
      </c>
      <c r="F70" s="204">
        <v>101086</v>
      </c>
      <c r="G70" s="204">
        <v>40711</v>
      </c>
      <c r="H70" s="204">
        <v>7315596</v>
      </c>
      <c r="I70" s="204">
        <v>0</v>
      </c>
      <c r="J70" s="204">
        <v>214397</v>
      </c>
      <c r="K70" s="204">
        <v>0</v>
      </c>
      <c r="L70" s="204">
        <v>0</v>
      </c>
      <c r="M70" s="204">
        <v>0</v>
      </c>
      <c r="N70" s="204">
        <v>0</v>
      </c>
      <c r="O70" s="204">
        <v>214397</v>
      </c>
      <c r="P70" s="204">
        <v>3155540</v>
      </c>
      <c r="Q70" s="204">
        <v>3527203</v>
      </c>
      <c r="R70" s="204">
        <v>639648</v>
      </c>
      <c r="S70" s="204">
        <v>65805</v>
      </c>
      <c r="T70" s="204">
        <v>101086</v>
      </c>
      <c r="U70" s="204">
        <v>40711</v>
      </c>
      <c r="V70" s="204">
        <v>7529993</v>
      </c>
      <c r="W70" s="204" t="s">
        <v>69</v>
      </c>
    </row>
    <row r="71" spans="1:25" s="204" customFormat="1">
      <c r="A71" s="190" t="s">
        <v>173</v>
      </c>
      <c r="B71" s="190">
        <v>701669</v>
      </c>
      <c r="C71" s="190">
        <v>733198</v>
      </c>
      <c r="D71" s="190">
        <v>228550</v>
      </c>
      <c r="E71" s="190">
        <v>24632</v>
      </c>
      <c r="F71" s="190">
        <v>7931</v>
      </c>
      <c r="G71" s="190">
        <v>17868</v>
      </c>
      <c r="H71" s="190">
        <v>1713848</v>
      </c>
      <c r="I71" s="190"/>
      <c r="J71" s="190">
        <v>681</v>
      </c>
      <c r="K71" s="190"/>
      <c r="L71" s="190"/>
      <c r="M71" s="190"/>
      <c r="N71" s="190"/>
      <c r="O71" s="190">
        <v>681</v>
      </c>
      <c r="P71" s="190">
        <v>701669</v>
      </c>
      <c r="Q71" s="190">
        <v>733879</v>
      </c>
      <c r="R71" s="190">
        <v>228550</v>
      </c>
      <c r="S71" s="190">
        <v>24632</v>
      </c>
      <c r="T71" s="190">
        <v>7931</v>
      </c>
      <c r="U71" s="190">
        <v>17868</v>
      </c>
      <c r="V71" s="190">
        <v>1714529</v>
      </c>
      <c r="W71" s="190" t="s">
        <v>69</v>
      </c>
    </row>
    <row r="72" spans="1:25" s="184" customFormat="1">
      <c r="A72" s="190" t="s">
        <v>174</v>
      </c>
      <c r="B72" s="190">
        <v>3482</v>
      </c>
      <c r="C72" s="190">
        <v>169</v>
      </c>
      <c r="D72" s="190">
        <v>3792</v>
      </c>
      <c r="E72" s="190">
        <v>727</v>
      </c>
      <c r="F72" s="190">
        <v>16</v>
      </c>
      <c r="G72" s="190">
        <v>810</v>
      </c>
      <c r="H72" s="190">
        <v>8996</v>
      </c>
      <c r="I72" s="190"/>
      <c r="J72" s="190"/>
      <c r="K72" s="190"/>
      <c r="L72" s="190"/>
      <c r="M72" s="190"/>
      <c r="N72" s="190"/>
      <c r="O72" s="190"/>
      <c r="P72" s="190">
        <v>3482</v>
      </c>
      <c r="Q72" s="190">
        <v>169</v>
      </c>
      <c r="R72" s="190">
        <v>3792</v>
      </c>
      <c r="S72" s="190">
        <v>727</v>
      </c>
      <c r="T72" s="190">
        <v>16</v>
      </c>
      <c r="U72" s="190">
        <v>810</v>
      </c>
      <c r="V72" s="190">
        <v>8996</v>
      </c>
      <c r="W72" s="190" t="s">
        <v>69</v>
      </c>
    </row>
    <row r="73" spans="1:25" s="184" customFormat="1">
      <c r="A73" s="190" t="s">
        <v>175</v>
      </c>
      <c r="B73" s="190"/>
      <c r="C73" s="190">
        <v>21</v>
      </c>
      <c r="D73" s="190"/>
      <c r="E73" s="190">
        <v>1</v>
      </c>
      <c r="F73" s="190"/>
      <c r="G73" s="190"/>
      <c r="H73" s="190">
        <v>22</v>
      </c>
      <c r="I73" s="190"/>
      <c r="J73" s="190"/>
      <c r="K73" s="190"/>
      <c r="L73" s="190"/>
      <c r="M73" s="190"/>
      <c r="N73" s="190"/>
      <c r="O73" s="190"/>
      <c r="P73" s="190">
        <v>0</v>
      </c>
      <c r="Q73" s="190">
        <v>21</v>
      </c>
      <c r="R73" s="190">
        <v>0</v>
      </c>
      <c r="S73" s="190">
        <v>1</v>
      </c>
      <c r="T73" s="190">
        <v>0</v>
      </c>
      <c r="U73" s="190">
        <v>0</v>
      </c>
      <c r="V73" s="190">
        <v>22</v>
      </c>
      <c r="W73" s="190" t="s">
        <v>69</v>
      </c>
    </row>
    <row r="74" spans="1:25" s="184" customFormat="1">
      <c r="A74" s="190" t="s">
        <v>176</v>
      </c>
      <c r="B74" s="190"/>
      <c r="C74" s="190">
        <v>194213</v>
      </c>
      <c r="D74" s="190"/>
      <c r="E74" s="190"/>
      <c r="F74" s="190"/>
      <c r="G74" s="190"/>
      <c r="H74" s="190">
        <v>194213</v>
      </c>
      <c r="I74" s="190"/>
      <c r="J74" s="190">
        <v>213</v>
      </c>
      <c r="K74" s="190"/>
      <c r="L74" s="190"/>
      <c r="M74" s="190"/>
      <c r="N74" s="190"/>
      <c r="O74" s="190">
        <v>213</v>
      </c>
      <c r="P74" s="190">
        <v>0</v>
      </c>
      <c r="Q74" s="190">
        <v>194426</v>
      </c>
      <c r="R74" s="190">
        <v>0</v>
      </c>
      <c r="S74" s="190">
        <v>0</v>
      </c>
      <c r="T74" s="190">
        <v>0</v>
      </c>
      <c r="U74" s="190">
        <v>0</v>
      </c>
      <c r="V74" s="190">
        <v>194426</v>
      </c>
      <c r="W74" s="190" t="s">
        <v>69</v>
      </c>
    </row>
    <row r="75" spans="1:25" s="184" customFormat="1">
      <c r="A75" s="190" t="s">
        <v>177</v>
      </c>
      <c r="B75" s="190">
        <v>152143</v>
      </c>
      <c r="C75" s="190"/>
      <c r="D75" s="190"/>
      <c r="E75" s="190"/>
      <c r="F75" s="190"/>
      <c r="G75" s="190"/>
      <c r="H75" s="190">
        <v>152143</v>
      </c>
      <c r="I75" s="190"/>
      <c r="J75" s="190"/>
      <c r="K75" s="190"/>
      <c r="L75" s="190"/>
      <c r="M75" s="190"/>
      <c r="N75" s="190"/>
      <c r="O75" s="190"/>
      <c r="P75" s="190">
        <v>152143</v>
      </c>
      <c r="Q75" s="190">
        <v>0</v>
      </c>
      <c r="R75" s="190">
        <v>0</v>
      </c>
      <c r="S75" s="190">
        <v>0</v>
      </c>
      <c r="T75" s="190">
        <v>0</v>
      </c>
      <c r="U75" s="190">
        <v>0</v>
      </c>
      <c r="V75" s="190">
        <v>152143</v>
      </c>
      <c r="W75" s="190" t="s">
        <v>69</v>
      </c>
    </row>
    <row r="76" spans="1:25" s="184" customFormat="1">
      <c r="A76" s="190" t="s">
        <v>178</v>
      </c>
      <c r="B76" s="190">
        <v>837</v>
      </c>
      <c r="C76" s="190">
        <v>238</v>
      </c>
      <c r="D76" s="190">
        <v>2862</v>
      </c>
      <c r="E76" s="190">
        <v>628</v>
      </c>
      <c r="F76" s="190">
        <v>103</v>
      </c>
      <c r="G76" s="190">
        <v>431</v>
      </c>
      <c r="H76" s="190">
        <v>5099</v>
      </c>
      <c r="I76" s="190"/>
      <c r="J76" s="190"/>
      <c r="K76" s="190"/>
      <c r="L76" s="190"/>
      <c r="M76" s="190"/>
      <c r="N76" s="190"/>
      <c r="O76" s="190"/>
      <c r="P76" s="190">
        <v>837</v>
      </c>
      <c r="Q76" s="190">
        <v>238</v>
      </c>
      <c r="R76" s="190">
        <v>2862</v>
      </c>
      <c r="S76" s="190">
        <v>628</v>
      </c>
      <c r="T76" s="190">
        <v>103</v>
      </c>
      <c r="U76" s="190">
        <v>431</v>
      </c>
      <c r="V76" s="190">
        <v>5099</v>
      </c>
      <c r="W76" s="190" t="s">
        <v>69</v>
      </c>
    </row>
    <row r="77" spans="1:25" s="184" customFormat="1">
      <c r="A77" s="190" t="s">
        <v>179</v>
      </c>
      <c r="B77" s="190"/>
      <c r="C77" s="190">
        <v>2566</v>
      </c>
      <c r="D77" s="190"/>
      <c r="E77" s="190"/>
      <c r="F77" s="190"/>
      <c r="G77" s="190"/>
      <c r="H77" s="190">
        <v>2566</v>
      </c>
      <c r="I77" s="190"/>
      <c r="J77" s="190">
        <v>18669</v>
      </c>
      <c r="K77" s="190"/>
      <c r="L77" s="190"/>
      <c r="M77" s="190"/>
      <c r="N77" s="190"/>
      <c r="O77" s="190">
        <v>18669</v>
      </c>
      <c r="P77" s="190">
        <v>0</v>
      </c>
      <c r="Q77" s="190">
        <v>21235</v>
      </c>
      <c r="R77" s="190">
        <v>0</v>
      </c>
      <c r="S77" s="190">
        <v>0</v>
      </c>
      <c r="T77" s="190">
        <v>0</v>
      </c>
      <c r="U77" s="190">
        <v>0</v>
      </c>
      <c r="V77" s="190">
        <v>21235</v>
      </c>
      <c r="W77" s="190" t="s">
        <v>69</v>
      </c>
    </row>
    <row r="78" spans="1:25" s="184" customFormat="1">
      <c r="A78" s="190" t="s">
        <v>180</v>
      </c>
      <c r="B78" s="190">
        <v>80749</v>
      </c>
      <c r="C78" s="190">
        <v>99080</v>
      </c>
      <c r="D78" s="190">
        <v>75415</v>
      </c>
      <c r="E78" s="190">
        <v>8002</v>
      </c>
      <c r="F78" s="190">
        <v>802</v>
      </c>
      <c r="G78" s="190">
        <v>11355</v>
      </c>
      <c r="H78" s="190">
        <v>275403</v>
      </c>
      <c r="I78" s="190"/>
      <c r="J78" s="190">
        <v>23</v>
      </c>
      <c r="K78" s="190"/>
      <c r="L78" s="190"/>
      <c r="M78" s="190"/>
      <c r="N78" s="190"/>
      <c r="O78" s="190">
        <v>23</v>
      </c>
      <c r="P78" s="190">
        <v>80749</v>
      </c>
      <c r="Q78" s="190">
        <v>99103</v>
      </c>
      <c r="R78" s="190">
        <v>75415</v>
      </c>
      <c r="S78" s="190">
        <v>8002</v>
      </c>
      <c r="T78" s="190">
        <v>802</v>
      </c>
      <c r="U78" s="190">
        <v>11355</v>
      </c>
      <c r="V78" s="190">
        <v>275426</v>
      </c>
      <c r="W78" s="190" t="s">
        <v>69</v>
      </c>
    </row>
    <row r="79" spans="1:25" s="184" customFormat="1">
      <c r="A79" s="190" t="s">
        <v>181</v>
      </c>
      <c r="B79" s="190"/>
      <c r="C79" s="190">
        <v>250959</v>
      </c>
      <c r="D79" s="190"/>
      <c r="E79" s="190"/>
      <c r="F79" s="190"/>
      <c r="G79" s="190"/>
      <c r="H79" s="190">
        <v>250959</v>
      </c>
      <c r="I79" s="190"/>
      <c r="J79" s="190">
        <v>601</v>
      </c>
      <c r="K79" s="190"/>
      <c r="L79" s="190"/>
      <c r="M79" s="190"/>
      <c r="N79" s="190"/>
      <c r="O79" s="190">
        <v>601</v>
      </c>
      <c r="P79" s="190">
        <v>0</v>
      </c>
      <c r="Q79" s="190">
        <v>251560</v>
      </c>
      <c r="R79" s="190">
        <v>0</v>
      </c>
      <c r="S79" s="190">
        <v>0</v>
      </c>
      <c r="T79" s="190">
        <v>0</v>
      </c>
      <c r="U79" s="190">
        <v>0</v>
      </c>
      <c r="V79" s="190">
        <v>251560</v>
      </c>
      <c r="W79" s="190" t="s">
        <v>69</v>
      </c>
    </row>
    <row r="80" spans="1:25" s="184" customFormat="1">
      <c r="A80" s="190" t="s">
        <v>182</v>
      </c>
      <c r="B80" s="190">
        <v>21134</v>
      </c>
      <c r="C80" s="190">
        <v>680980</v>
      </c>
      <c r="D80" s="190"/>
      <c r="E80" s="190"/>
      <c r="F80" s="190">
        <v>48755</v>
      </c>
      <c r="G80" s="190"/>
      <c r="H80" s="190">
        <v>750869</v>
      </c>
      <c r="I80" s="190"/>
      <c r="J80" s="190">
        <v>2292</v>
      </c>
      <c r="K80" s="190"/>
      <c r="L80" s="190"/>
      <c r="M80" s="190"/>
      <c r="N80" s="190"/>
      <c r="O80" s="190">
        <v>2292</v>
      </c>
      <c r="P80" s="190">
        <v>21134</v>
      </c>
      <c r="Q80" s="190">
        <v>683272</v>
      </c>
      <c r="R80" s="190">
        <v>0</v>
      </c>
      <c r="S80" s="190">
        <v>0</v>
      </c>
      <c r="T80" s="190">
        <v>48755</v>
      </c>
      <c r="U80" s="190">
        <v>0</v>
      </c>
      <c r="V80" s="190">
        <v>753161</v>
      </c>
      <c r="W80" s="190" t="s">
        <v>69</v>
      </c>
    </row>
    <row r="81" spans="1:25" s="184" customFormat="1">
      <c r="A81" s="190" t="s">
        <v>183</v>
      </c>
      <c r="B81" s="207">
        <v>2195526</v>
      </c>
      <c r="C81" s="190">
        <v>1351382</v>
      </c>
      <c r="D81" s="190">
        <v>329029</v>
      </c>
      <c r="E81" s="190">
        <v>31815</v>
      </c>
      <c r="F81" s="190">
        <v>43479</v>
      </c>
      <c r="G81" s="190">
        <v>10247</v>
      </c>
      <c r="H81" s="190">
        <v>3961478</v>
      </c>
      <c r="I81" s="190"/>
      <c r="J81" s="190">
        <v>191918</v>
      </c>
      <c r="K81" s="190"/>
      <c r="L81" s="190"/>
      <c r="M81" s="190"/>
      <c r="N81" s="190"/>
      <c r="O81" s="190">
        <v>191918</v>
      </c>
      <c r="P81" s="190">
        <v>2195526</v>
      </c>
      <c r="Q81" s="190">
        <v>1543300</v>
      </c>
      <c r="R81" s="190">
        <v>329029</v>
      </c>
      <c r="S81" s="190">
        <v>31815</v>
      </c>
      <c r="T81" s="190">
        <v>43479</v>
      </c>
      <c r="U81" s="190">
        <v>10247</v>
      </c>
      <c r="V81" s="190">
        <v>4153396</v>
      </c>
      <c r="W81" s="190" t="s">
        <v>69</v>
      </c>
    </row>
    <row r="82" spans="1:25" s="184" customFormat="1">
      <c r="A82" s="204" t="s">
        <v>85</v>
      </c>
      <c r="B82" s="204">
        <v>872530</v>
      </c>
      <c r="C82" s="204">
        <v>1671</v>
      </c>
      <c r="D82" s="204">
        <v>1579915</v>
      </c>
      <c r="E82" s="204">
        <v>1366</v>
      </c>
      <c r="F82" s="204">
        <v>0</v>
      </c>
      <c r="G82" s="204">
        <v>37624</v>
      </c>
      <c r="H82" s="204">
        <v>2493106</v>
      </c>
      <c r="I82" s="204">
        <v>0</v>
      </c>
      <c r="J82" s="204">
        <v>385</v>
      </c>
      <c r="K82" s="204">
        <v>997747</v>
      </c>
      <c r="L82" s="204">
        <v>0</v>
      </c>
      <c r="M82" s="204">
        <v>0</v>
      </c>
      <c r="N82" s="204">
        <v>2106</v>
      </c>
      <c r="O82" s="204">
        <v>1000238</v>
      </c>
      <c r="P82" s="204">
        <v>872530</v>
      </c>
      <c r="Q82" s="204">
        <v>2056</v>
      </c>
      <c r="R82" s="204">
        <v>2577662</v>
      </c>
      <c r="S82" s="204">
        <v>1366</v>
      </c>
      <c r="T82" s="204">
        <v>0</v>
      </c>
      <c r="U82" s="204">
        <v>39730</v>
      </c>
      <c r="V82" s="204">
        <v>3493344</v>
      </c>
      <c r="W82" s="204" t="s">
        <v>85</v>
      </c>
    </row>
    <row r="83" spans="1:25" s="184" customFormat="1">
      <c r="A83" s="190" t="s">
        <v>184</v>
      </c>
      <c r="B83" s="190"/>
      <c r="C83" s="190"/>
      <c r="D83" s="190"/>
      <c r="E83" s="190"/>
      <c r="F83" s="190"/>
      <c r="G83" s="190"/>
      <c r="H83" s="190"/>
      <c r="I83" s="190"/>
      <c r="J83" s="190"/>
      <c r="K83" s="190">
        <v>497</v>
      </c>
      <c r="L83" s="190"/>
      <c r="M83" s="190"/>
      <c r="N83" s="190"/>
      <c r="O83" s="190">
        <v>497</v>
      </c>
      <c r="P83" s="190">
        <v>0</v>
      </c>
      <c r="Q83" s="190">
        <v>0</v>
      </c>
      <c r="R83" s="190">
        <v>497</v>
      </c>
      <c r="S83" s="190">
        <v>0</v>
      </c>
      <c r="T83" s="190">
        <v>0</v>
      </c>
      <c r="U83" s="190">
        <v>0</v>
      </c>
      <c r="V83" s="190">
        <v>497</v>
      </c>
      <c r="W83" s="190" t="s">
        <v>70</v>
      </c>
    </row>
    <row r="84" spans="1:25" s="204" customFormat="1">
      <c r="A84" s="190" t="s">
        <v>185</v>
      </c>
      <c r="B84" s="190">
        <v>525312</v>
      </c>
      <c r="C84" s="190"/>
      <c r="D84" s="190"/>
      <c r="E84" s="190"/>
      <c r="F84" s="190"/>
      <c r="G84" s="190"/>
      <c r="H84" s="190">
        <v>525312</v>
      </c>
      <c r="I84" s="190"/>
      <c r="J84" s="190"/>
      <c r="K84" s="190"/>
      <c r="L84" s="190"/>
      <c r="M84" s="190"/>
      <c r="N84" s="190"/>
      <c r="O84" s="190"/>
      <c r="P84" s="190">
        <v>525312</v>
      </c>
      <c r="Q84" s="190">
        <v>0</v>
      </c>
      <c r="R84" s="190">
        <v>0</v>
      </c>
      <c r="S84" s="190">
        <v>0</v>
      </c>
      <c r="T84" s="190">
        <v>0</v>
      </c>
      <c r="U84" s="190">
        <v>0</v>
      </c>
      <c r="V84" s="190">
        <v>525312</v>
      </c>
      <c r="W84" s="190" t="s">
        <v>70</v>
      </c>
    </row>
    <row r="85" spans="1:25" s="184" customFormat="1">
      <c r="A85" s="190" t="s">
        <v>186</v>
      </c>
      <c r="B85" s="190">
        <v>178232</v>
      </c>
      <c r="C85" s="190">
        <v>80</v>
      </c>
      <c r="D85" s="190">
        <v>147214</v>
      </c>
      <c r="E85" s="190">
        <v>576</v>
      </c>
      <c r="F85" s="190"/>
      <c r="G85" s="190">
        <v>975</v>
      </c>
      <c r="H85" s="190">
        <v>327077</v>
      </c>
      <c r="I85" s="190"/>
      <c r="J85" s="190"/>
      <c r="K85" s="190"/>
      <c r="L85" s="190"/>
      <c r="M85" s="190"/>
      <c r="N85" s="190"/>
      <c r="O85" s="190"/>
      <c r="P85" s="190">
        <v>178232</v>
      </c>
      <c r="Q85" s="190">
        <v>80</v>
      </c>
      <c r="R85" s="190">
        <v>147214</v>
      </c>
      <c r="S85" s="190">
        <v>576</v>
      </c>
      <c r="T85" s="190">
        <v>0</v>
      </c>
      <c r="U85" s="190">
        <v>975</v>
      </c>
      <c r="V85" s="190">
        <v>327077</v>
      </c>
      <c r="W85" s="190" t="s">
        <v>70</v>
      </c>
    </row>
    <row r="86" spans="1:25" s="184" customFormat="1">
      <c r="A86" s="190" t="s">
        <v>187</v>
      </c>
      <c r="B86" s="190">
        <v>168986</v>
      </c>
      <c r="C86" s="190">
        <v>1591</v>
      </c>
      <c r="D86" s="190">
        <v>1043723</v>
      </c>
      <c r="E86" s="190">
        <v>781</v>
      </c>
      <c r="F86" s="190"/>
      <c r="G86" s="190">
        <v>36649</v>
      </c>
      <c r="H86" s="190">
        <v>1251730</v>
      </c>
      <c r="I86" s="190"/>
      <c r="J86" s="190">
        <v>385</v>
      </c>
      <c r="K86" s="190">
        <v>655521</v>
      </c>
      <c r="L86" s="190"/>
      <c r="M86" s="190"/>
      <c r="N86" s="190">
        <v>1663</v>
      </c>
      <c r="O86" s="190">
        <v>657569</v>
      </c>
      <c r="P86" s="190">
        <v>168986</v>
      </c>
      <c r="Q86" s="190">
        <v>1976</v>
      </c>
      <c r="R86" s="190">
        <v>1699244</v>
      </c>
      <c r="S86" s="190">
        <v>781</v>
      </c>
      <c r="T86" s="190">
        <v>0</v>
      </c>
      <c r="U86" s="190">
        <v>38312</v>
      </c>
      <c r="V86" s="190">
        <v>1909299</v>
      </c>
      <c r="W86" s="190" t="s">
        <v>70</v>
      </c>
      <c r="Y86" s="208"/>
    </row>
    <row r="87" spans="1:25" s="184" customFormat="1">
      <c r="A87" s="190" t="s">
        <v>188</v>
      </c>
      <c r="B87" s="190"/>
      <c r="C87" s="190"/>
      <c r="D87" s="190">
        <v>167030</v>
      </c>
      <c r="E87" s="190">
        <v>8</v>
      </c>
      <c r="F87" s="190"/>
      <c r="G87" s="190"/>
      <c r="H87" s="190">
        <v>167038</v>
      </c>
      <c r="I87" s="190"/>
      <c r="J87" s="190"/>
      <c r="K87" s="190"/>
      <c r="L87" s="190"/>
      <c r="M87" s="190"/>
      <c r="N87" s="190"/>
      <c r="O87" s="190"/>
      <c r="P87" s="190">
        <v>0</v>
      </c>
      <c r="Q87" s="190">
        <v>0</v>
      </c>
      <c r="R87" s="190">
        <v>167030</v>
      </c>
      <c r="S87" s="190">
        <v>8</v>
      </c>
      <c r="T87" s="190">
        <v>0</v>
      </c>
      <c r="U87" s="190">
        <v>0</v>
      </c>
      <c r="V87" s="190">
        <v>167038</v>
      </c>
      <c r="W87" s="190" t="s">
        <v>70</v>
      </c>
      <c r="X87" s="209"/>
    </row>
    <row r="88" spans="1:25" s="204" customFormat="1">
      <c r="A88" s="190" t="s">
        <v>189</v>
      </c>
      <c r="B88" s="190"/>
      <c r="C88" s="190"/>
      <c r="D88" s="190">
        <v>221948</v>
      </c>
      <c r="E88" s="190"/>
      <c r="F88" s="190"/>
      <c r="G88" s="190"/>
      <c r="H88" s="190">
        <v>221948</v>
      </c>
      <c r="I88" s="190"/>
      <c r="J88" s="190"/>
      <c r="K88" s="190">
        <v>341729</v>
      </c>
      <c r="L88" s="190"/>
      <c r="M88" s="190"/>
      <c r="N88" s="190">
        <v>443</v>
      </c>
      <c r="O88" s="190">
        <v>342172</v>
      </c>
      <c r="P88" s="190">
        <v>0</v>
      </c>
      <c r="Q88" s="190">
        <v>0</v>
      </c>
      <c r="R88" s="190">
        <v>563677</v>
      </c>
      <c r="S88" s="190">
        <v>0</v>
      </c>
      <c r="T88" s="190">
        <v>0</v>
      </c>
      <c r="U88" s="190">
        <v>443</v>
      </c>
      <c r="V88" s="190">
        <v>564120</v>
      </c>
      <c r="W88" s="190" t="s">
        <v>70</v>
      </c>
    </row>
    <row r="89" spans="1:25" s="184" customFormat="1">
      <c r="A89" s="190" t="s">
        <v>190</v>
      </c>
      <c r="B89" s="190"/>
      <c r="C89" s="190"/>
      <c r="D89" s="190"/>
      <c r="E89" s="190">
        <v>1</v>
      </c>
      <c r="F89" s="190"/>
      <c r="G89" s="190"/>
      <c r="H89" s="190">
        <v>1</v>
      </c>
      <c r="I89" s="190"/>
      <c r="J89" s="190"/>
      <c r="K89" s="190"/>
      <c r="L89" s="190"/>
      <c r="M89" s="190"/>
      <c r="N89" s="190"/>
      <c r="O89" s="190"/>
      <c r="P89" s="190">
        <v>0</v>
      </c>
      <c r="Q89" s="190">
        <v>0</v>
      </c>
      <c r="R89" s="190">
        <v>0</v>
      </c>
      <c r="S89" s="190">
        <v>1</v>
      </c>
      <c r="T89" s="190">
        <v>0</v>
      </c>
      <c r="U89" s="190">
        <v>0</v>
      </c>
      <c r="V89" s="190">
        <v>1</v>
      </c>
      <c r="W89" s="190" t="s">
        <v>70</v>
      </c>
    </row>
    <row r="90" spans="1:25" s="184" customFormat="1">
      <c r="A90" s="204" t="s">
        <v>92</v>
      </c>
      <c r="B90" s="204">
        <v>315594</v>
      </c>
      <c r="C90" s="204">
        <v>1094572</v>
      </c>
      <c r="D90" s="204">
        <v>1616146</v>
      </c>
      <c r="E90" s="204">
        <v>493</v>
      </c>
      <c r="F90" s="204">
        <v>857109</v>
      </c>
      <c r="G90" s="204">
        <v>1158694</v>
      </c>
      <c r="H90" s="204">
        <v>5042608</v>
      </c>
      <c r="I90" s="204">
        <v>0</v>
      </c>
      <c r="J90" s="204">
        <v>1455</v>
      </c>
      <c r="K90" s="204">
        <v>36675</v>
      </c>
      <c r="L90" s="204">
        <v>0</v>
      </c>
      <c r="M90" s="204">
        <v>0</v>
      </c>
      <c r="N90" s="204">
        <v>2798</v>
      </c>
      <c r="O90" s="204">
        <v>40928</v>
      </c>
      <c r="P90" s="204">
        <v>315594</v>
      </c>
      <c r="Q90" s="204">
        <v>1096027</v>
      </c>
      <c r="R90" s="204">
        <v>1652821</v>
      </c>
      <c r="S90" s="204">
        <v>493</v>
      </c>
      <c r="T90" s="204">
        <v>857109</v>
      </c>
      <c r="U90" s="204">
        <v>1161492</v>
      </c>
      <c r="V90" s="204">
        <v>5083536</v>
      </c>
      <c r="W90" s="204" t="s">
        <v>191</v>
      </c>
    </row>
    <row r="91" spans="1:25" s="184" customFormat="1">
      <c r="A91" s="190" t="s">
        <v>192</v>
      </c>
      <c r="B91" s="190">
        <v>237399</v>
      </c>
      <c r="C91" s="190">
        <v>532519</v>
      </c>
      <c r="D91" s="190">
        <v>764520</v>
      </c>
      <c r="E91" s="190">
        <v>492</v>
      </c>
      <c r="F91" s="190">
        <v>602109</v>
      </c>
      <c r="G91" s="190">
        <v>514601</v>
      </c>
      <c r="H91" s="190">
        <v>2651640</v>
      </c>
      <c r="I91" s="190"/>
      <c r="J91" s="190">
        <v>924</v>
      </c>
      <c r="K91" s="190">
        <v>36675</v>
      </c>
      <c r="L91" s="190"/>
      <c r="M91" s="190"/>
      <c r="N91" s="190">
        <v>2798</v>
      </c>
      <c r="O91" s="190">
        <v>40397</v>
      </c>
      <c r="P91" s="190">
        <v>237399</v>
      </c>
      <c r="Q91" s="190">
        <v>533443</v>
      </c>
      <c r="R91" s="190">
        <v>801195</v>
      </c>
      <c r="S91" s="190">
        <v>492</v>
      </c>
      <c r="T91" s="190">
        <v>602109</v>
      </c>
      <c r="U91" s="190">
        <v>517399</v>
      </c>
      <c r="V91" s="190">
        <v>2692037</v>
      </c>
      <c r="W91" s="190" t="s">
        <v>191</v>
      </c>
    </row>
    <row r="92" spans="1:25" s="184" customFormat="1">
      <c r="A92" s="190" t="s">
        <v>193</v>
      </c>
      <c r="B92" s="190">
        <v>76624</v>
      </c>
      <c r="C92" s="190">
        <v>561336</v>
      </c>
      <c r="D92" s="190">
        <v>782451</v>
      </c>
      <c r="E92" s="190">
        <v>1</v>
      </c>
      <c r="F92" s="190">
        <v>255000</v>
      </c>
      <c r="G92" s="190">
        <v>517526</v>
      </c>
      <c r="H92" s="190">
        <v>2192938</v>
      </c>
      <c r="I92" s="190"/>
      <c r="J92" s="190">
        <v>531</v>
      </c>
      <c r="K92" s="190"/>
      <c r="L92" s="190"/>
      <c r="M92" s="190"/>
      <c r="N92" s="190"/>
      <c r="O92" s="190">
        <v>531</v>
      </c>
      <c r="P92" s="190">
        <v>76624</v>
      </c>
      <c r="Q92" s="190">
        <v>561867</v>
      </c>
      <c r="R92" s="190">
        <v>782451</v>
      </c>
      <c r="S92" s="190">
        <v>1</v>
      </c>
      <c r="T92" s="190">
        <v>255000</v>
      </c>
      <c r="U92" s="190">
        <v>517526</v>
      </c>
      <c r="V92" s="190">
        <v>2193469</v>
      </c>
      <c r="W92" s="190" t="s">
        <v>191</v>
      </c>
    </row>
    <row r="93" spans="1:25" s="184" customFormat="1">
      <c r="A93" s="190" t="s">
        <v>194</v>
      </c>
      <c r="B93" s="190">
        <v>1571</v>
      </c>
      <c r="C93" s="190">
        <v>717</v>
      </c>
      <c r="D93" s="190">
        <v>69175</v>
      </c>
      <c r="E93" s="190"/>
      <c r="F93" s="190"/>
      <c r="G93" s="190">
        <v>126567</v>
      </c>
      <c r="H93" s="190">
        <v>198030</v>
      </c>
      <c r="I93" s="190"/>
      <c r="J93" s="190"/>
      <c r="K93" s="190"/>
      <c r="L93" s="190"/>
      <c r="M93" s="190"/>
      <c r="N93" s="190"/>
      <c r="O93" s="190"/>
      <c r="P93" s="190">
        <v>1571</v>
      </c>
      <c r="Q93" s="190">
        <v>717</v>
      </c>
      <c r="R93" s="190">
        <v>69175</v>
      </c>
      <c r="S93" s="190">
        <v>0</v>
      </c>
      <c r="T93" s="190">
        <v>0</v>
      </c>
      <c r="U93" s="190">
        <v>126567</v>
      </c>
      <c r="V93" s="190">
        <v>198030</v>
      </c>
      <c r="W93" s="190" t="s">
        <v>191</v>
      </c>
    </row>
    <row r="94" spans="1:25" s="184" customFormat="1">
      <c r="A94" s="204" t="s">
        <v>75</v>
      </c>
      <c r="B94" s="204">
        <v>78744</v>
      </c>
      <c r="C94" s="204">
        <v>2127762</v>
      </c>
      <c r="D94" s="204">
        <v>940122</v>
      </c>
      <c r="E94" s="204">
        <v>35654</v>
      </c>
      <c r="F94" s="204">
        <v>16117</v>
      </c>
      <c r="G94" s="204">
        <v>6856</v>
      </c>
      <c r="H94" s="204">
        <v>3205255</v>
      </c>
      <c r="I94" s="204">
        <v>3607</v>
      </c>
      <c r="J94" s="204">
        <v>554106</v>
      </c>
      <c r="K94" s="204">
        <v>594665</v>
      </c>
      <c r="L94" s="204">
        <v>0</v>
      </c>
      <c r="M94" s="204">
        <v>0</v>
      </c>
      <c r="N94" s="204">
        <v>269</v>
      </c>
      <c r="O94" s="204">
        <v>1152647</v>
      </c>
      <c r="P94" s="204">
        <v>82351</v>
      </c>
      <c r="Q94" s="204">
        <v>2681868</v>
      </c>
      <c r="R94" s="204">
        <v>1534787</v>
      </c>
      <c r="S94" s="204">
        <v>35654</v>
      </c>
      <c r="T94" s="204">
        <v>16117</v>
      </c>
      <c r="U94" s="204">
        <v>7125</v>
      </c>
      <c r="V94" s="204">
        <v>4357902</v>
      </c>
      <c r="W94" s="204" t="s">
        <v>74</v>
      </c>
    </row>
    <row r="95" spans="1:25" s="184" customFormat="1">
      <c r="A95" s="190" t="s">
        <v>195</v>
      </c>
      <c r="B95" s="190"/>
      <c r="C95" s="190"/>
      <c r="D95" s="190"/>
      <c r="E95" s="190">
        <v>1466</v>
      </c>
      <c r="F95" s="190"/>
      <c r="G95" s="190"/>
      <c r="H95" s="190">
        <v>1466</v>
      </c>
      <c r="I95" s="190"/>
      <c r="J95" s="190"/>
      <c r="K95" s="190"/>
      <c r="L95" s="190"/>
      <c r="M95" s="190"/>
      <c r="N95" s="190"/>
      <c r="O95" s="190"/>
      <c r="P95" s="190">
        <v>0</v>
      </c>
      <c r="Q95" s="190">
        <v>0</v>
      </c>
      <c r="R95" s="190">
        <v>0</v>
      </c>
      <c r="S95" s="190">
        <v>1466</v>
      </c>
      <c r="T95" s="190">
        <v>0</v>
      </c>
      <c r="U95" s="190">
        <v>0</v>
      </c>
      <c r="V95" s="190">
        <v>1466</v>
      </c>
      <c r="W95" s="190" t="s">
        <v>74</v>
      </c>
    </row>
    <row r="96" spans="1:25" s="184" customFormat="1">
      <c r="A96" s="190" t="s">
        <v>196</v>
      </c>
      <c r="B96" s="190">
        <v>666</v>
      </c>
      <c r="C96" s="190">
        <v>50027</v>
      </c>
      <c r="D96" s="190">
        <v>10898</v>
      </c>
      <c r="E96" s="190">
        <v>1671</v>
      </c>
      <c r="F96" s="190"/>
      <c r="G96" s="190"/>
      <c r="H96" s="190">
        <v>63262</v>
      </c>
      <c r="I96" s="190"/>
      <c r="J96" s="190">
        <v>627</v>
      </c>
      <c r="K96" s="190"/>
      <c r="L96" s="190"/>
      <c r="M96" s="190"/>
      <c r="N96" s="190"/>
      <c r="O96" s="190">
        <v>627</v>
      </c>
      <c r="P96" s="190">
        <v>666</v>
      </c>
      <c r="Q96" s="190">
        <v>50654</v>
      </c>
      <c r="R96" s="190">
        <v>10898</v>
      </c>
      <c r="S96" s="190">
        <v>1671</v>
      </c>
      <c r="T96" s="190">
        <v>0</v>
      </c>
      <c r="U96" s="190">
        <v>0</v>
      </c>
      <c r="V96" s="190">
        <v>63889</v>
      </c>
      <c r="W96" s="190" t="s">
        <v>74</v>
      </c>
    </row>
    <row r="97" spans="1:29" s="184" customFormat="1">
      <c r="A97" s="190" t="s">
        <v>197</v>
      </c>
      <c r="B97" s="190"/>
      <c r="C97" s="190">
        <v>116</v>
      </c>
      <c r="D97" s="190">
        <v>133729</v>
      </c>
      <c r="E97" s="190">
        <v>11</v>
      </c>
      <c r="F97" s="190"/>
      <c r="G97" s="190"/>
      <c r="H97" s="190">
        <v>133856</v>
      </c>
      <c r="I97" s="190"/>
      <c r="J97" s="190"/>
      <c r="K97" s="190"/>
      <c r="L97" s="190"/>
      <c r="M97" s="190"/>
      <c r="N97" s="190"/>
      <c r="O97" s="190"/>
      <c r="P97" s="190">
        <v>0</v>
      </c>
      <c r="Q97" s="190">
        <v>116</v>
      </c>
      <c r="R97" s="190">
        <v>133729</v>
      </c>
      <c r="S97" s="190">
        <v>11</v>
      </c>
      <c r="T97" s="190">
        <v>0</v>
      </c>
      <c r="U97" s="190">
        <v>0</v>
      </c>
      <c r="V97" s="190">
        <v>133856</v>
      </c>
      <c r="W97" s="190" t="s">
        <v>74</v>
      </c>
    </row>
    <row r="98" spans="1:29" s="184" customFormat="1">
      <c r="A98" s="190" t="s">
        <v>198</v>
      </c>
      <c r="B98" s="190">
        <v>34132</v>
      </c>
      <c r="C98" s="190">
        <v>371311</v>
      </c>
      <c r="D98" s="190"/>
      <c r="E98" s="190">
        <v>5109</v>
      </c>
      <c r="F98" s="190">
        <v>9437</v>
      </c>
      <c r="G98" s="190"/>
      <c r="H98" s="190">
        <v>419989</v>
      </c>
      <c r="I98" s="190"/>
      <c r="J98" s="190">
        <v>146306</v>
      </c>
      <c r="K98" s="190"/>
      <c r="L98" s="190"/>
      <c r="M98" s="190"/>
      <c r="N98" s="190"/>
      <c r="O98" s="190">
        <v>146306</v>
      </c>
      <c r="P98" s="190">
        <v>34132</v>
      </c>
      <c r="Q98" s="190">
        <v>517617</v>
      </c>
      <c r="R98" s="190">
        <v>0</v>
      </c>
      <c r="S98" s="190">
        <v>5109</v>
      </c>
      <c r="T98" s="190">
        <v>9437</v>
      </c>
      <c r="U98" s="190">
        <v>0</v>
      </c>
      <c r="V98" s="190">
        <v>566295</v>
      </c>
      <c r="W98" s="190" t="s">
        <v>74</v>
      </c>
    </row>
    <row r="99" spans="1:29" s="184" customFormat="1">
      <c r="A99" s="190" t="s">
        <v>199</v>
      </c>
      <c r="B99" s="190">
        <v>185</v>
      </c>
      <c r="C99" s="190">
        <v>1032</v>
      </c>
      <c r="D99" s="190">
        <v>199457</v>
      </c>
      <c r="E99" s="190">
        <v>217</v>
      </c>
      <c r="F99" s="190"/>
      <c r="G99" s="190"/>
      <c r="H99" s="190">
        <v>200891</v>
      </c>
      <c r="I99" s="190">
        <v>1955</v>
      </c>
      <c r="J99" s="190">
        <v>22</v>
      </c>
      <c r="K99" s="190"/>
      <c r="L99" s="190"/>
      <c r="M99" s="190"/>
      <c r="N99" s="190"/>
      <c r="O99" s="190">
        <v>1977</v>
      </c>
      <c r="P99" s="190">
        <v>2140</v>
      </c>
      <c r="Q99" s="190">
        <v>1054</v>
      </c>
      <c r="R99" s="190">
        <v>199457</v>
      </c>
      <c r="S99" s="190">
        <v>217</v>
      </c>
      <c r="T99" s="190">
        <v>0</v>
      </c>
      <c r="U99" s="190">
        <v>0</v>
      </c>
      <c r="V99" s="190">
        <v>202868</v>
      </c>
      <c r="W99" s="190" t="s">
        <v>74</v>
      </c>
    </row>
    <row r="100" spans="1:29" s="184" customFormat="1">
      <c r="A100" s="190" t="s">
        <v>200</v>
      </c>
      <c r="B100" s="190">
        <v>631</v>
      </c>
      <c r="C100" s="190">
        <v>48276</v>
      </c>
      <c r="D100" s="190"/>
      <c r="E100" s="190">
        <v>951</v>
      </c>
      <c r="F100" s="190"/>
      <c r="G100" s="190">
        <v>153</v>
      </c>
      <c r="H100" s="190">
        <v>50011</v>
      </c>
      <c r="I100" s="190"/>
      <c r="J100" s="190">
        <v>343</v>
      </c>
      <c r="K100" s="190"/>
      <c r="L100" s="190"/>
      <c r="M100" s="190"/>
      <c r="N100" s="190"/>
      <c r="O100" s="190">
        <v>343</v>
      </c>
      <c r="P100" s="190">
        <v>631</v>
      </c>
      <c r="Q100" s="190">
        <v>48619</v>
      </c>
      <c r="R100" s="190">
        <v>0</v>
      </c>
      <c r="S100" s="190">
        <v>951</v>
      </c>
      <c r="T100" s="190">
        <v>0</v>
      </c>
      <c r="U100" s="190">
        <v>153</v>
      </c>
      <c r="V100" s="190">
        <v>50354</v>
      </c>
      <c r="W100" s="190" t="s">
        <v>74</v>
      </c>
      <c r="AC100" s="210"/>
    </row>
    <row r="101" spans="1:29" s="184" customFormat="1">
      <c r="A101" s="190" t="s">
        <v>201</v>
      </c>
      <c r="B101" s="190">
        <v>158</v>
      </c>
      <c r="C101" s="190">
        <v>380421</v>
      </c>
      <c r="D101" s="190">
        <v>605</v>
      </c>
      <c r="E101" s="190">
        <v>4825</v>
      </c>
      <c r="F101" s="190"/>
      <c r="G101" s="190"/>
      <c r="H101" s="190">
        <v>386009</v>
      </c>
      <c r="I101" s="190"/>
      <c r="J101" s="190">
        <v>127889</v>
      </c>
      <c r="K101" s="190"/>
      <c r="L101" s="190"/>
      <c r="M101" s="190"/>
      <c r="N101" s="190"/>
      <c r="O101" s="190">
        <v>127889</v>
      </c>
      <c r="P101" s="190">
        <v>158</v>
      </c>
      <c r="Q101" s="190">
        <v>508310</v>
      </c>
      <c r="R101" s="190">
        <v>605</v>
      </c>
      <c r="S101" s="190">
        <v>4825</v>
      </c>
      <c r="T101" s="190">
        <v>0</v>
      </c>
      <c r="U101" s="190">
        <v>0</v>
      </c>
      <c r="V101" s="190">
        <v>513898</v>
      </c>
      <c r="W101" s="190" t="s">
        <v>74</v>
      </c>
      <c r="X101" s="211"/>
    </row>
    <row r="102" spans="1:29" s="184" customFormat="1">
      <c r="A102" s="190" t="s">
        <v>202</v>
      </c>
      <c r="B102" s="190">
        <v>4180</v>
      </c>
      <c r="C102" s="190"/>
      <c r="D102" s="190"/>
      <c r="E102" s="190"/>
      <c r="F102" s="190"/>
      <c r="G102" s="190"/>
      <c r="H102" s="190">
        <v>4180</v>
      </c>
      <c r="I102" s="190"/>
      <c r="J102" s="190"/>
      <c r="K102" s="190"/>
      <c r="L102" s="190"/>
      <c r="M102" s="190"/>
      <c r="N102" s="190"/>
      <c r="O102" s="190"/>
      <c r="P102" s="190">
        <v>4180</v>
      </c>
      <c r="Q102" s="190">
        <v>0</v>
      </c>
      <c r="R102" s="190">
        <v>0</v>
      </c>
      <c r="S102" s="190">
        <v>0</v>
      </c>
      <c r="T102" s="190">
        <v>0</v>
      </c>
      <c r="U102" s="190">
        <v>0</v>
      </c>
      <c r="V102" s="190">
        <v>4180</v>
      </c>
      <c r="W102" s="190" t="s">
        <v>74</v>
      </c>
    </row>
    <row r="103" spans="1:29" s="204" customFormat="1">
      <c r="A103" s="190" t="s">
        <v>203</v>
      </c>
      <c r="B103" s="190">
        <v>5475</v>
      </c>
      <c r="C103" s="190">
        <v>126879</v>
      </c>
      <c r="D103" s="190">
        <v>587736</v>
      </c>
      <c r="E103" s="190">
        <v>11535</v>
      </c>
      <c r="F103" s="190">
        <v>6573</v>
      </c>
      <c r="G103" s="190">
        <v>4243</v>
      </c>
      <c r="H103" s="190">
        <v>742441</v>
      </c>
      <c r="I103" s="190">
        <v>1652</v>
      </c>
      <c r="J103" s="190">
        <v>3412</v>
      </c>
      <c r="K103" s="190">
        <v>55188</v>
      </c>
      <c r="L103" s="190"/>
      <c r="M103" s="190"/>
      <c r="N103" s="190">
        <v>269</v>
      </c>
      <c r="O103" s="190">
        <v>60521</v>
      </c>
      <c r="P103" s="190">
        <v>7127</v>
      </c>
      <c r="Q103" s="190">
        <v>130291</v>
      </c>
      <c r="R103" s="190">
        <v>642924</v>
      </c>
      <c r="S103" s="190">
        <v>11535</v>
      </c>
      <c r="T103" s="190">
        <v>6573</v>
      </c>
      <c r="U103" s="190">
        <v>4512</v>
      </c>
      <c r="V103" s="190">
        <v>802962</v>
      </c>
      <c r="W103" s="190" t="s">
        <v>74</v>
      </c>
    </row>
    <row r="104" spans="1:29" s="184" customFormat="1">
      <c r="A104" s="190" t="s">
        <v>204</v>
      </c>
      <c r="B104" s="190"/>
      <c r="C104" s="190">
        <v>44753</v>
      </c>
      <c r="D104" s="190"/>
      <c r="E104" s="190">
        <v>9</v>
      </c>
      <c r="F104" s="190"/>
      <c r="G104" s="190"/>
      <c r="H104" s="190">
        <v>44762</v>
      </c>
      <c r="I104" s="190"/>
      <c r="J104" s="190"/>
      <c r="K104" s="190"/>
      <c r="L104" s="190"/>
      <c r="M104" s="190"/>
      <c r="N104" s="190"/>
      <c r="O104" s="190"/>
      <c r="P104" s="190">
        <v>0</v>
      </c>
      <c r="Q104" s="190">
        <v>44753</v>
      </c>
      <c r="R104" s="190">
        <v>0</v>
      </c>
      <c r="S104" s="190">
        <v>9</v>
      </c>
      <c r="T104" s="190">
        <v>0</v>
      </c>
      <c r="U104" s="190">
        <v>0</v>
      </c>
      <c r="V104" s="190">
        <v>44762</v>
      </c>
      <c r="W104" s="190" t="s">
        <v>74</v>
      </c>
    </row>
    <row r="105" spans="1:29" s="184" customFormat="1">
      <c r="A105" s="190" t="s">
        <v>205</v>
      </c>
      <c r="B105" s="190">
        <v>4265</v>
      </c>
      <c r="C105" s="190">
        <v>7817</v>
      </c>
      <c r="D105" s="190">
        <v>7697</v>
      </c>
      <c r="E105" s="190">
        <v>1734</v>
      </c>
      <c r="F105" s="190">
        <v>107</v>
      </c>
      <c r="G105" s="190">
        <v>434</v>
      </c>
      <c r="H105" s="190">
        <v>22054</v>
      </c>
      <c r="I105" s="190"/>
      <c r="J105" s="190">
        <v>15</v>
      </c>
      <c r="K105" s="190"/>
      <c r="L105" s="190"/>
      <c r="M105" s="190"/>
      <c r="N105" s="190"/>
      <c r="O105" s="190">
        <v>15</v>
      </c>
      <c r="P105" s="190">
        <v>4265</v>
      </c>
      <c r="Q105" s="190">
        <v>7832</v>
      </c>
      <c r="R105" s="190">
        <v>7697</v>
      </c>
      <c r="S105" s="190">
        <v>1734</v>
      </c>
      <c r="T105" s="190">
        <v>107</v>
      </c>
      <c r="U105" s="190">
        <v>434</v>
      </c>
      <c r="V105" s="190">
        <v>22069</v>
      </c>
      <c r="W105" s="190" t="s">
        <v>74</v>
      </c>
    </row>
    <row r="106" spans="1:29" s="184" customFormat="1">
      <c r="A106" s="190" t="s">
        <v>206</v>
      </c>
      <c r="B106" s="190"/>
      <c r="C106" s="190">
        <v>459135</v>
      </c>
      <c r="D106" s="190"/>
      <c r="E106" s="190"/>
      <c r="F106" s="190"/>
      <c r="G106" s="190"/>
      <c r="H106" s="190">
        <v>459135</v>
      </c>
      <c r="I106" s="190"/>
      <c r="J106" s="190">
        <v>107381</v>
      </c>
      <c r="K106" s="190"/>
      <c r="L106" s="190"/>
      <c r="M106" s="190"/>
      <c r="N106" s="190"/>
      <c r="O106" s="190">
        <v>107381</v>
      </c>
      <c r="P106" s="190">
        <v>0</v>
      </c>
      <c r="Q106" s="190">
        <v>566516</v>
      </c>
      <c r="R106" s="190">
        <v>0</v>
      </c>
      <c r="S106" s="190">
        <v>0</v>
      </c>
      <c r="T106" s="190">
        <v>0</v>
      </c>
      <c r="U106" s="190">
        <v>0</v>
      </c>
      <c r="V106" s="190">
        <v>566516</v>
      </c>
      <c r="W106" s="190" t="s">
        <v>74</v>
      </c>
    </row>
    <row r="107" spans="1:29" s="184" customFormat="1">
      <c r="A107" s="190" t="s">
        <v>207</v>
      </c>
      <c r="B107" s="190">
        <v>29052</v>
      </c>
      <c r="C107" s="190">
        <v>637990</v>
      </c>
      <c r="D107" s="190"/>
      <c r="E107" s="190">
        <v>8126</v>
      </c>
      <c r="F107" s="190"/>
      <c r="G107" s="190">
        <v>2026</v>
      </c>
      <c r="H107" s="190">
        <v>677194</v>
      </c>
      <c r="I107" s="190"/>
      <c r="J107" s="190">
        <v>162187</v>
      </c>
      <c r="K107" s="190"/>
      <c r="L107" s="190"/>
      <c r="M107" s="190"/>
      <c r="N107" s="190"/>
      <c r="O107" s="190">
        <v>162187</v>
      </c>
      <c r="P107" s="190">
        <v>29052</v>
      </c>
      <c r="Q107" s="190">
        <v>800177</v>
      </c>
      <c r="R107" s="190">
        <v>0</v>
      </c>
      <c r="S107" s="190">
        <v>8126</v>
      </c>
      <c r="T107" s="190">
        <v>0</v>
      </c>
      <c r="U107" s="190">
        <v>2026</v>
      </c>
      <c r="V107" s="190">
        <v>839381</v>
      </c>
      <c r="W107" s="190" t="s">
        <v>74</v>
      </c>
    </row>
    <row r="108" spans="1:29" s="184" customFormat="1">
      <c r="A108" s="190" t="s">
        <v>208</v>
      </c>
      <c r="B108" s="190"/>
      <c r="C108" s="190">
        <v>5</v>
      </c>
      <c r="D108" s="190"/>
      <c r="E108" s="190"/>
      <c r="F108" s="190"/>
      <c r="G108" s="190"/>
      <c r="H108" s="190">
        <v>5</v>
      </c>
      <c r="I108" s="190"/>
      <c r="J108" s="190">
        <v>5924</v>
      </c>
      <c r="K108" s="190">
        <v>539477</v>
      </c>
      <c r="L108" s="190"/>
      <c r="M108" s="190"/>
      <c r="N108" s="190"/>
      <c r="O108" s="190">
        <v>545401</v>
      </c>
      <c r="P108" s="190">
        <v>0</v>
      </c>
      <c r="Q108" s="190">
        <v>5929</v>
      </c>
      <c r="R108" s="190">
        <v>539477</v>
      </c>
      <c r="S108" s="190">
        <v>0</v>
      </c>
      <c r="T108" s="190">
        <v>0</v>
      </c>
      <c r="U108" s="190">
        <v>0</v>
      </c>
      <c r="V108" s="190">
        <v>545406</v>
      </c>
      <c r="W108" s="190" t="s">
        <v>74</v>
      </c>
    </row>
    <row r="109" spans="1:29" s="184" customFormat="1">
      <c r="A109" s="204" t="s">
        <v>95</v>
      </c>
      <c r="B109" s="204">
        <v>1207184</v>
      </c>
      <c r="C109" s="204">
        <v>60952</v>
      </c>
      <c r="D109" s="204">
        <v>1256185</v>
      </c>
      <c r="E109" s="204">
        <v>594285</v>
      </c>
      <c r="F109" s="204">
        <v>84289</v>
      </c>
      <c r="G109" s="204">
        <v>1385</v>
      </c>
      <c r="H109" s="204">
        <v>3204280</v>
      </c>
      <c r="I109" s="204">
        <v>0</v>
      </c>
      <c r="J109" s="204">
        <v>8</v>
      </c>
      <c r="K109" s="204">
        <v>52001</v>
      </c>
      <c r="L109" s="204">
        <v>0</v>
      </c>
      <c r="M109" s="204">
        <v>0</v>
      </c>
      <c r="N109" s="204">
        <v>0</v>
      </c>
      <c r="O109" s="204">
        <v>52009</v>
      </c>
      <c r="P109" s="204">
        <v>1207184</v>
      </c>
      <c r="Q109" s="204">
        <v>60960</v>
      </c>
      <c r="R109" s="204">
        <v>1308186</v>
      </c>
      <c r="S109" s="204">
        <v>594285</v>
      </c>
      <c r="T109" s="204">
        <v>84289</v>
      </c>
      <c r="U109" s="204">
        <v>1385</v>
      </c>
      <c r="V109" s="204">
        <v>3256289</v>
      </c>
      <c r="W109" s="204" t="s">
        <v>95</v>
      </c>
    </row>
    <row r="110" spans="1:29" s="184" customFormat="1">
      <c r="A110" s="190" t="s">
        <v>209</v>
      </c>
      <c r="B110" s="190">
        <v>175</v>
      </c>
      <c r="C110" s="190"/>
      <c r="D110" s="190">
        <v>145655</v>
      </c>
      <c r="E110" s="190"/>
      <c r="F110" s="190"/>
      <c r="G110" s="190"/>
      <c r="H110" s="190">
        <v>145830</v>
      </c>
      <c r="I110" s="190"/>
      <c r="J110" s="190"/>
      <c r="K110" s="190"/>
      <c r="L110" s="190"/>
      <c r="M110" s="190"/>
      <c r="N110" s="190"/>
      <c r="O110" s="190"/>
      <c r="P110" s="190">
        <v>175</v>
      </c>
      <c r="Q110" s="190">
        <v>0</v>
      </c>
      <c r="R110" s="190">
        <v>145655</v>
      </c>
      <c r="S110" s="190">
        <v>0</v>
      </c>
      <c r="T110" s="190">
        <v>0</v>
      </c>
      <c r="U110" s="190">
        <v>0</v>
      </c>
      <c r="V110" s="190">
        <v>145830</v>
      </c>
      <c r="W110" s="190" t="s">
        <v>89</v>
      </c>
    </row>
    <row r="111" spans="1:29" s="204" customFormat="1">
      <c r="A111" s="190" t="s">
        <v>210</v>
      </c>
      <c r="B111" s="190">
        <v>1207009</v>
      </c>
      <c r="C111" s="190">
        <v>60952</v>
      </c>
      <c r="D111" s="190">
        <v>1110530</v>
      </c>
      <c r="E111" s="190">
        <v>594285</v>
      </c>
      <c r="F111" s="190">
        <v>84289</v>
      </c>
      <c r="G111" s="190">
        <v>1385</v>
      </c>
      <c r="H111" s="190">
        <v>3058450</v>
      </c>
      <c r="I111" s="190"/>
      <c r="J111" s="190">
        <v>8</v>
      </c>
      <c r="K111" s="190">
        <v>52001</v>
      </c>
      <c r="L111" s="190"/>
      <c r="M111" s="190"/>
      <c r="N111" s="190"/>
      <c r="O111" s="190">
        <v>52009</v>
      </c>
      <c r="P111" s="190">
        <v>1207009</v>
      </c>
      <c r="Q111" s="190">
        <v>60960</v>
      </c>
      <c r="R111" s="190">
        <v>1162531</v>
      </c>
      <c r="S111" s="190">
        <v>594285</v>
      </c>
      <c r="T111" s="190">
        <v>84289</v>
      </c>
      <c r="U111" s="190">
        <v>1385</v>
      </c>
      <c r="V111" s="190">
        <v>3110459</v>
      </c>
      <c r="W111" s="190" t="s">
        <v>89</v>
      </c>
    </row>
    <row r="112" spans="1:29" s="184" customFormat="1">
      <c r="A112" s="204" t="s">
        <v>88</v>
      </c>
      <c r="B112" s="204">
        <v>251865</v>
      </c>
      <c r="C112" s="204">
        <v>556903</v>
      </c>
      <c r="D112" s="204">
        <v>914135</v>
      </c>
      <c r="E112" s="204">
        <v>299</v>
      </c>
      <c r="F112" s="204">
        <v>0</v>
      </c>
      <c r="G112" s="204">
        <v>4100</v>
      </c>
      <c r="H112" s="204">
        <v>1727302</v>
      </c>
      <c r="I112" s="204">
        <v>3463</v>
      </c>
      <c r="J112" s="204">
        <v>306519</v>
      </c>
      <c r="K112" s="204">
        <v>1067197</v>
      </c>
      <c r="L112" s="204">
        <v>0</v>
      </c>
      <c r="M112" s="204">
        <v>0</v>
      </c>
      <c r="N112" s="204">
        <v>1008</v>
      </c>
      <c r="O112" s="204">
        <v>1378187</v>
      </c>
      <c r="P112" s="204">
        <v>255328</v>
      </c>
      <c r="Q112" s="204">
        <v>863422</v>
      </c>
      <c r="R112" s="204">
        <v>1981332</v>
      </c>
      <c r="S112" s="204">
        <v>299</v>
      </c>
      <c r="T112" s="204">
        <v>0</v>
      </c>
      <c r="U112" s="204">
        <v>5108</v>
      </c>
      <c r="V112" s="204">
        <v>3105489</v>
      </c>
      <c r="W112" s="204" t="s">
        <v>80</v>
      </c>
    </row>
    <row r="113" spans="1:24" s="184" customFormat="1">
      <c r="A113" s="190" t="s">
        <v>211</v>
      </c>
      <c r="B113" s="190">
        <v>181280</v>
      </c>
      <c r="C113" s="190">
        <v>556903</v>
      </c>
      <c r="D113" s="190">
        <v>832317</v>
      </c>
      <c r="E113" s="190">
        <v>299</v>
      </c>
      <c r="F113" s="190">
        <v>0</v>
      </c>
      <c r="G113" s="190">
        <v>2442</v>
      </c>
      <c r="H113" s="190">
        <v>1573241</v>
      </c>
      <c r="I113" s="190">
        <v>3463</v>
      </c>
      <c r="J113" s="190">
        <v>306519</v>
      </c>
      <c r="K113" s="190">
        <v>1067197</v>
      </c>
      <c r="L113" s="190"/>
      <c r="M113" s="190"/>
      <c r="N113" s="190">
        <v>1008</v>
      </c>
      <c r="O113" s="190">
        <v>1378187</v>
      </c>
      <c r="P113" s="190">
        <v>184743</v>
      </c>
      <c r="Q113" s="190">
        <v>863422</v>
      </c>
      <c r="R113" s="190">
        <v>1899514</v>
      </c>
      <c r="S113" s="190">
        <v>299</v>
      </c>
      <c r="T113" s="190">
        <v>0</v>
      </c>
      <c r="U113" s="190">
        <v>3450</v>
      </c>
      <c r="V113" s="190">
        <v>2951428</v>
      </c>
      <c r="W113" s="190" t="s">
        <v>80</v>
      </c>
    </row>
    <row r="114" spans="1:24" s="204" customFormat="1">
      <c r="A114" s="190" t="s">
        <v>212</v>
      </c>
      <c r="B114" s="190">
        <v>70585</v>
      </c>
      <c r="C114" s="190"/>
      <c r="D114" s="190">
        <v>81818</v>
      </c>
      <c r="E114" s="190"/>
      <c r="F114" s="190"/>
      <c r="G114" s="190">
        <v>1658</v>
      </c>
      <c r="H114" s="190">
        <v>154061</v>
      </c>
      <c r="I114" s="190"/>
      <c r="J114" s="190"/>
      <c r="K114" s="190"/>
      <c r="L114" s="190"/>
      <c r="M114" s="190"/>
      <c r="N114" s="190"/>
      <c r="O114" s="190"/>
      <c r="P114" s="190">
        <v>70585</v>
      </c>
      <c r="Q114" s="190">
        <v>0</v>
      </c>
      <c r="R114" s="190">
        <v>81818</v>
      </c>
      <c r="S114" s="190">
        <v>0</v>
      </c>
      <c r="T114" s="190">
        <v>0</v>
      </c>
      <c r="U114" s="190">
        <v>1658</v>
      </c>
      <c r="V114" s="190">
        <v>154061</v>
      </c>
      <c r="W114" s="190" t="s">
        <v>80</v>
      </c>
    </row>
    <row r="115" spans="1:24" s="184" customFormat="1">
      <c r="A115" s="204" t="s">
        <v>101</v>
      </c>
      <c r="B115" s="204">
        <v>0</v>
      </c>
      <c r="C115" s="204">
        <v>188289</v>
      </c>
      <c r="D115" s="204">
        <v>0</v>
      </c>
      <c r="E115" s="204">
        <v>594036</v>
      </c>
      <c r="F115" s="204">
        <v>1571658</v>
      </c>
      <c r="G115" s="204">
        <v>0</v>
      </c>
      <c r="H115" s="204">
        <v>2353983</v>
      </c>
      <c r="I115" s="204">
        <v>0</v>
      </c>
      <c r="J115" s="204">
        <v>12962</v>
      </c>
      <c r="K115" s="204">
        <v>0</v>
      </c>
      <c r="L115" s="204">
        <v>56531</v>
      </c>
      <c r="M115" s="204">
        <v>171022</v>
      </c>
      <c r="N115" s="204">
        <v>0</v>
      </c>
      <c r="O115" s="204">
        <v>240515</v>
      </c>
      <c r="P115" s="204">
        <v>0</v>
      </c>
      <c r="Q115" s="204">
        <v>201251</v>
      </c>
      <c r="R115" s="204">
        <v>0</v>
      </c>
      <c r="S115" s="204">
        <v>650567</v>
      </c>
      <c r="T115" s="204">
        <v>1742680</v>
      </c>
      <c r="U115" s="204">
        <v>0</v>
      </c>
      <c r="V115" s="204">
        <v>2594498</v>
      </c>
      <c r="W115" s="204" t="s">
        <v>101</v>
      </c>
    </row>
    <row r="116" spans="1:24" s="184" customFormat="1">
      <c r="A116" s="190" t="s">
        <v>213</v>
      </c>
      <c r="B116" s="190"/>
      <c r="C116" s="190"/>
      <c r="D116" s="190"/>
      <c r="E116" s="190"/>
      <c r="F116" s="190">
        <v>1062368</v>
      </c>
      <c r="G116" s="190"/>
      <c r="H116" s="190">
        <v>1062368</v>
      </c>
      <c r="I116" s="190"/>
      <c r="J116" s="190"/>
      <c r="K116" s="190"/>
      <c r="L116" s="190"/>
      <c r="M116" s="190">
        <v>171022</v>
      </c>
      <c r="N116" s="190"/>
      <c r="O116" s="190">
        <v>171022</v>
      </c>
      <c r="P116" s="190">
        <v>0</v>
      </c>
      <c r="Q116" s="190">
        <v>0</v>
      </c>
      <c r="R116" s="190">
        <v>0</v>
      </c>
      <c r="S116" s="190">
        <v>0</v>
      </c>
      <c r="T116" s="190">
        <v>1233390</v>
      </c>
      <c r="U116" s="190">
        <v>0</v>
      </c>
      <c r="V116" s="190">
        <v>1233390</v>
      </c>
      <c r="W116" s="190" t="s">
        <v>99</v>
      </c>
    </row>
    <row r="117" spans="1:24" s="204" customFormat="1">
      <c r="A117" s="190" t="s">
        <v>214</v>
      </c>
      <c r="B117" s="190"/>
      <c r="C117" s="190">
        <v>188289</v>
      </c>
      <c r="D117" s="190"/>
      <c r="E117" s="190">
        <v>594036</v>
      </c>
      <c r="F117" s="190">
        <v>509290</v>
      </c>
      <c r="G117" s="190"/>
      <c r="H117" s="190">
        <v>1291615</v>
      </c>
      <c r="I117" s="190"/>
      <c r="J117" s="190">
        <v>12962</v>
      </c>
      <c r="K117" s="190"/>
      <c r="L117" s="190">
        <v>56531</v>
      </c>
      <c r="M117" s="190"/>
      <c r="N117" s="190"/>
      <c r="O117" s="190">
        <v>69493</v>
      </c>
      <c r="P117" s="190">
        <v>0</v>
      </c>
      <c r="Q117" s="190">
        <v>201251</v>
      </c>
      <c r="R117" s="190">
        <v>0</v>
      </c>
      <c r="S117" s="190">
        <v>650567</v>
      </c>
      <c r="T117" s="190">
        <v>509290</v>
      </c>
      <c r="U117" s="190">
        <v>0</v>
      </c>
      <c r="V117" s="190">
        <v>1361108</v>
      </c>
      <c r="W117" s="190" t="s">
        <v>99</v>
      </c>
    </row>
    <row r="118" spans="1:24" s="184" customFormat="1">
      <c r="A118" s="204" t="s">
        <v>96</v>
      </c>
      <c r="B118" s="204">
        <v>677959</v>
      </c>
      <c r="C118" s="204">
        <v>293701</v>
      </c>
      <c r="D118" s="204">
        <v>821472</v>
      </c>
      <c r="E118" s="204">
        <v>435267</v>
      </c>
      <c r="F118" s="204">
        <v>30074</v>
      </c>
      <c r="G118" s="204">
        <v>0</v>
      </c>
      <c r="H118" s="204">
        <v>2258473</v>
      </c>
      <c r="I118" s="204">
        <v>6250</v>
      </c>
      <c r="J118" s="204">
        <v>29178</v>
      </c>
      <c r="K118" s="204">
        <v>77324</v>
      </c>
      <c r="L118" s="204">
        <v>41541</v>
      </c>
      <c r="M118" s="204">
        <v>0</v>
      </c>
      <c r="N118" s="204">
        <v>0</v>
      </c>
      <c r="O118" s="204">
        <v>154293</v>
      </c>
      <c r="P118" s="204">
        <v>684209</v>
      </c>
      <c r="Q118" s="204">
        <v>322879</v>
      </c>
      <c r="R118" s="204">
        <v>898796</v>
      </c>
      <c r="S118" s="204">
        <v>476808</v>
      </c>
      <c r="T118" s="204">
        <v>30074</v>
      </c>
      <c r="U118" s="204">
        <v>0</v>
      </c>
      <c r="V118" s="204">
        <v>2412766</v>
      </c>
      <c r="W118" s="204" t="s">
        <v>96</v>
      </c>
    </row>
    <row r="119" spans="1:24" s="184" customFormat="1">
      <c r="A119" s="190" t="s">
        <v>215</v>
      </c>
      <c r="B119" s="190"/>
      <c r="C119" s="190"/>
      <c r="D119" s="190"/>
      <c r="E119" s="190"/>
      <c r="F119" s="190">
        <v>0</v>
      </c>
      <c r="G119" s="190"/>
      <c r="H119" s="190">
        <v>0</v>
      </c>
      <c r="I119" s="190"/>
      <c r="J119" s="190"/>
      <c r="K119" s="190"/>
      <c r="L119" s="190"/>
      <c r="M119" s="190"/>
      <c r="N119" s="190"/>
      <c r="O119" s="190"/>
      <c r="P119" s="190">
        <v>0</v>
      </c>
      <c r="Q119" s="190">
        <v>0</v>
      </c>
      <c r="R119" s="190">
        <v>0</v>
      </c>
      <c r="S119" s="190">
        <v>0</v>
      </c>
      <c r="T119" s="190">
        <v>0</v>
      </c>
      <c r="U119" s="190">
        <v>0</v>
      </c>
      <c r="V119" s="190">
        <v>0</v>
      </c>
      <c r="W119" s="190" t="s">
        <v>91</v>
      </c>
    </row>
    <row r="120" spans="1:24" s="204" customFormat="1">
      <c r="A120" s="190" t="s">
        <v>216</v>
      </c>
      <c r="B120" s="190">
        <v>6147</v>
      </c>
      <c r="C120" s="190"/>
      <c r="D120" s="190">
        <v>64699</v>
      </c>
      <c r="E120" s="190"/>
      <c r="F120" s="190"/>
      <c r="G120" s="190"/>
      <c r="H120" s="190">
        <v>70846</v>
      </c>
      <c r="I120" s="190"/>
      <c r="J120" s="190"/>
      <c r="K120" s="190"/>
      <c r="L120" s="190"/>
      <c r="M120" s="190"/>
      <c r="N120" s="190"/>
      <c r="O120" s="190"/>
      <c r="P120" s="190">
        <v>6147</v>
      </c>
      <c r="Q120" s="190">
        <v>0</v>
      </c>
      <c r="R120" s="190">
        <v>64699</v>
      </c>
      <c r="S120" s="190">
        <v>0</v>
      </c>
      <c r="T120" s="190">
        <v>0</v>
      </c>
      <c r="U120" s="190">
        <v>0</v>
      </c>
      <c r="V120" s="190">
        <v>70846</v>
      </c>
      <c r="W120" s="190" t="s">
        <v>91</v>
      </c>
    </row>
    <row r="121" spans="1:24" s="184" customFormat="1">
      <c r="A121" s="190" t="s">
        <v>217</v>
      </c>
      <c r="B121" s="190">
        <v>671812</v>
      </c>
      <c r="C121" s="190">
        <v>293701</v>
      </c>
      <c r="D121" s="190">
        <v>756773</v>
      </c>
      <c r="E121" s="190">
        <v>435267</v>
      </c>
      <c r="F121" s="190">
        <v>30074</v>
      </c>
      <c r="G121" s="190"/>
      <c r="H121" s="190">
        <v>2187627</v>
      </c>
      <c r="I121" s="190">
        <v>6250</v>
      </c>
      <c r="J121" s="190">
        <v>29178</v>
      </c>
      <c r="K121" s="190">
        <v>77324</v>
      </c>
      <c r="L121" s="190">
        <v>41541</v>
      </c>
      <c r="M121" s="190"/>
      <c r="N121" s="190"/>
      <c r="O121" s="190">
        <v>154293</v>
      </c>
      <c r="P121" s="190">
        <v>678062</v>
      </c>
      <c r="Q121" s="190">
        <v>322879</v>
      </c>
      <c r="R121" s="190">
        <v>834097</v>
      </c>
      <c r="S121" s="190">
        <v>476808</v>
      </c>
      <c r="T121" s="190">
        <v>30074</v>
      </c>
      <c r="U121" s="190">
        <v>0</v>
      </c>
      <c r="V121" s="190">
        <v>2341920</v>
      </c>
      <c r="W121" s="190" t="s">
        <v>91</v>
      </c>
    </row>
    <row r="122" spans="1:24" s="184" customFormat="1">
      <c r="A122" s="204" t="s">
        <v>141</v>
      </c>
      <c r="B122" s="204">
        <v>828704</v>
      </c>
      <c r="C122" s="204">
        <v>913292</v>
      </c>
      <c r="D122" s="204">
        <v>397270</v>
      </c>
      <c r="E122" s="204">
        <v>52855</v>
      </c>
      <c r="F122" s="204">
        <v>14199</v>
      </c>
      <c r="G122" s="204">
        <v>87206</v>
      </c>
      <c r="H122" s="204">
        <v>2293526</v>
      </c>
      <c r="I122" s="204">
        <v>0</v>
      </c>
      <c r="J122" s="204">
        <v>1204</v>
      </c>
      <c r="K122" s="204">
        <v>0</v>
      </c>
      <c r="L122" s="204">
        <v>0</v>
      </c>
      <c r="M122" s="204">
        <v>0</v>
      </c>
      <c r="N122" s="204">
        <v>0</v>
      </c>
      <c r="O122" s="204">
        <v>1204</v>
      </c>
      <c r="P122" s="204">
        <v>828704</v>
      </c>
      <c r="Q122" s="204">
        <v>914496</v>
      </c>
      <c r="R122" s="204">
        <v>397270</v>
      </c>
      <c r="S122" s="204">
        <v>52855</v>
      </c>
      <c r="T122" s="204">
        <v>14199</v>
      </c>
      <c r="U122" s="204">
        <v>87206</v>
      </c>
      <c r="V122" s="204">
        <v>2294730</v>
      </c>
      <c r="W122" s="204" t="s">
        <v>141</v>
      </c>
    </row>
    <row r="123" spans="1:24" s="184" customFormat="1">
      <c r="A123" s="190" t="s">
        <v>218</v>
      </c>
      <c r="B123" s="190">
        <v>809029</v>
      </c>
      <c r="C123" s="190">
        <v>727555</v>
      </c>
      <c r="D123" s="190">
        <v>362244</v>
      </c>
      <c r="E123" s="190">
        <v>34821</v>
      </c>
      <c r="F123" s="190">
        <v>13303</v>
      </c>
      <c r="G123" s="190">
        <v>77395</v>
      </c>
      <c r="H123" s="190">
        <v>2024347</v>
      </c>
      <c r="I123" s="190"/>
      <c r="J123" s="190">
        <v>1107</v>
      </c>
      <c r="K123" s="190"/>
      <c r="L123" s="190"/>
      <c r="M123" s="190"/>
      <c r="N123" s="190"/>
      <c r="O123" s="190">
        <v>1107</v>
      </c>
      <c r="P123" s="190">
        <v>809029</v>
      </c>
      <c r="Q123" s="190">
        <v>728662</v>
      </c>
      <c r="R123" s="190">
        <v>362244</v>
      </c>
      <c r="S123" s="190">
        <v>34821</v>
      </c>
      <c r="T123" s="190">
        <v>13303</v>
      </c>
      <c r="U123" s="190">
        <v>77395</v>
      </c>
      <c r="V123" s="190">
        <v>2025454</v>
      </c>
      <c r="W123" s="190" t="s">
        <v>65</v>
      </c>
    </row>
    <row r="124" spans="1:24" s="204" customFormat="1">
      <c r="A124" s="190" t="s">
        <v>219</v>
      </c>
      <c r="B124" s="190">
        <v>18351</v>
      </c>
      <c r="C124" s="190">
        <v>185679</v>
      </c>
      <c r="D124" s="190">
        <v>33497</v>
      </c>
      <c r="E124" s="190">
        <v>17798</v>
      </c>
      <c r="F124" s="190">
        <v>869</v>
      </c>
      <c r="G124" s="190">
        <v>9535</v>
      </c>
      <c r="H124" s="190">
        <v>265729</v>
      </c>
      <c r="I124" s="190"/>
      <c r="J124" s="190">
        <v>97</v>
      </c>
      <c r="K124" s="190"/>
      <c r="L124" s="190"/>
      <c r="M124" s="190"/>
      <c r="N124" s="190"/>
      <c r="O124" s="190">
        <v>97</v>
      </c>
      <c r="P124" s="190">
        <v>18351</v>
      </c>
      <c r="Q124" s="190">
        <v>185776</v>
      </c>
      <c r="R124" s="190">
        <v>33497</v>
      </c>
      <c r="S124" s="190">
        <v>17798</v>
      </c>
      <c r="T124" s="190">
        <v>869</v>
      </c>
      <c r="U124" s="190">
        <v>9535</v>
      </c>
      <c r="V124" s="190">
        <v>265826</v>
      </c>
      <c r="W124" s="190" t="s">
        <v>65</v>
      </c>
    </row>
    <row r="125" spans="1:24" s="184" customFormat="1">
      <c r="A125" s="190" t="s">
        <v>220</v>
      </c>
      <c r="B125" s="190">
        <v>1324</v>
      </c>
      <c r="C125" s="190">
        <v>58</v>
      </c>
      <c r="D125" s="190">
        <v>1529</v>
      </c>
      <c r="E125" s="190">
        <v>236</v>
      </c>
      <c r="F125" s="190">
        <v>27</v>
      </c>
      <c r="G125" s="190">
        <v>276</v>
      </c>
      <c r="H125" s="190">
        <v>3450</v>
      </c>
      <c r="I125" s="190"/>
      <c r="J125" s="190"/>
      <c r="K125" s="190"/>
      <c r="L125" s="190"/>
      <c r="M125" s="190"/>
      <c r="N125" s="190"/>
      <c r="O125" s="190"/>
      <c r="P125" s="190">
        <v>1324</v>
      </c>
      <c r="Q125" s="190">
        <v>58</v>
      </c>
      <c r="R125" s="190">
        <v>1529</v>
      </c>
      <c r="S125" s="190">
        <v>236</v>
      </c>
      <c r="T125" s="190">
        <v>27</v>
      </c>
      <c r="U125" s="190">
        <v>276</v>
      </c>
      <c r="V125" s="190">
        <v>3450</v>
      </c>
      <c r="W125" s="190" t="s">
        <v>65</v>
      </c>
      <c r="X125" s="212"/>
    </row>
    <row r="126" spans="1:24" s="184" customFormat="1">
      <c r="A126" s="204" t="s">
        <v>221</v>
      </c>
      <c r="B126" s="204">
        <v>813025</v>
      </c>
      <c r="C126" s="204">
        <v>739045</v>
      </c>
      <c r="D126" s="204">
        <v>282229</v>
      </c>
      <c r="E126" s="204">
        <v>51231</v>
      </c>
      <c r="F126" s="204">
        <v>17408</v>
      </c>
      <c r="G126" s="204">
        <v>76697</v>
      </c>
      <c r="H126" s="204">
        <v>1979635</v>
      </c>
      <c r="I126" s="204">
        <v>0</v>
      </c>
      <c r="J126" s="204">
        <v>166981</v>
      </c>
      <c r="K126" s="204">
        <v>69517</v>
      </c>
      <c r="L126" s="204">
        <v>0</v>
      </c>
      <c r="M126" s="204">
        <v>0</v>
      </c>
      <c r="N126" s="204">
        <v>0</v>
      </c>
      <c r="O126" s="204">
        <v>236498</v>
      </c>
      <c r="P126" s="204">
        <v>813025</v>
      </c>
      <c r="Q126" s="204">
        <v>906026</v>
      </c>
      <c r="R126" s="204">
        <v>351746</v>
      </c>
      <c r="S126" s="204">
        <v>51231</v>
      </c>
      <c r="T126" s="204">
        <v>17408</v>
      </c>
      <c r="U126" s="204">
        <v>76697</v>
      </c>
      <c r="V126" s="204">
        <v>2216133</v>
      </c>
      <c r="W126" s="204" t="s">
        <v>71</v>
      </c>
    </row>
    <row r="127" spans="1:24" s="184" customFormat="1">
      <c r="A127" s="190" t="s">
        <v>222</v>
      </c>
      <c r="B127" s="190">
        <v>754110</v>
      </c>
      <c r="C127" s="190">
        <v>710292</v>
      </c>
      <c r="D127" s="190">
        <v>282229</v>
      </c>
      <c r="E127" s="190">
        <v>51230</v>
      </c>
      <c r="F127" s="190">
        <v>17132</v>
      </c>
      <c r="G127" s="190">
        <v>76697</v>
      </c>
      <c r="H127" s="190">
        <v>1891690</v>
      </c>
      <c r="I127" s="190"/>
      <c r="J127" s="190">
        <v>166981</v>
      </c>
      <c r="K127" s="190">
        <v>69517</v>
      </c>
      <c r="L127" s="190"/>
      <c r="M127" s="190"/>
      <c r="N127" s="190"/>
      <c r="O127" s="190">
        <v>236498</v>
      </c>
      <c r="P127" s="190">
        <v>754110</v>
      </c>
      <c r="Q127" s="190">
        <v>877273</v>
      </c>
      <c r="R127" s="190">
        <v>351746</v>
      </c>
      <c r="S127" s="190">
        <v>51230</v>
      </c>
      <c r="T127" s="190">
        <v>17132</v>
      </c>
      <c r="U127" s="190">
        <v>76697</v>
      </c>
      <c r="V127" s="190">
        <v>2128188</v>
      </c>
      <c r="W127" s="190" t="s">
        <v>71</v>
      </c>
    </row>
    <row r="128" spans="1:24" s="204" customFormat="1">
      <c r="A128" s="190" t="s">
        <v>223</v>
      </c>
      <c r="B128" s="190">
        <v>17465</v>
      </c>
      <c r="C128" s="190"/>
      <c r="D128" s="190"/>
      <c r="E128" s="190"/>
      <c r="F128" s="190">
        <v>276</v>
      </c>
      <c r="G128" s="190"/>
      <c r="H128" s="190">
        <v>17741</v>
      </c>
      <c r="I128" s="190"/>
      <c r="J128" s="190"/>
      <c r="K128" s="190"/>
      <c r="L128" s="190"/>
      <c r="M128" s="190"/>
      <c r="N128" s="190"/>
      <c r="O128" s="190"/>
      <c r="P128" s="190">
        <v>17465</v>
      </c>
      <c r="Q128" s="190">
        <v>0</v>
      </c>
      <c r="R128" s="190">
        <v>0</v>
      </c>
      <c r="S128" s="190">
        <v>0</v>
      </c>
      <c r="T128" s="190">
        <v>276</v>
      </c>
      <c r="U128" s="190">
        <v>0</v>
      </c>
      <c r="V128" s="190">
        <v>17741</v>
      </c>
      <c r="W128" s="190" t="s">
        <v>71</v>
      </c>
    </row>
    <row r="129" spans="1:23" s="184" customFormat="1">
      <c r="A129" s="190" t="s">
        <v>224</v>
      </c>
      <c r="B129" s="190">
        <v>41450</v>
      </c>
      <c r="C129" s="190">
        <v>28753</v>
      </c>
      <c r="D129" s="190"/>
      <c r="E129" s="190">
        <v>1</v>
      </c>
      <c r="F129" s="190"/>
      <c r="G129" s="190"/>
      <c r="H129" s="190">
        <v>70204</v>
      </c>
      <c r="I129" s="190"/>
      <c r="J129" s="190"/>
      <c r="K129" s="190"/>
      <c r="L129" s="190"/>
      <c r="M129" s="190"/>
      <c r="N129" s="190"/>
      <c r="O129" s="190"/>
      <c r="P129" s="190">
        <v>41450</v>
      </c>
      <c r="Q129" s="190">
        <v>28753</v>
      </c>
      <c r="R129" s="190">
        <v>0</v>
      </c>
      <c r="S129" s="190">
        <v>1</v>
      </c>
      <c r="T129" s="190">
        <v>0</v>
      </c>
      <c r="U129" s="190">
        <v>0</v>
      </c>
      <c r="V129" s="190">
        <v>70204</v>
      </c>
      <c r="W129" s="190" t="s">
        <v>71</v>
      </c>
    </row>
    <row r="130" spans="1:23" s="184" customFormat="1">
      <c r="A130" s="204" t="s">
        <v>83</v>
      </c>
      <c r="B130" s="204">
        <v>1366079</v>
      </c>
      <c r="C130" s="204">
        <v>0</v>
      </c>
      <c r="D130" s="204">
        <v>0</v>
      </c>
      <c r="E130" s="204">
        <v>0</v>
      </c>
      <c r="F130" s="204">
        <v>0</v>
      </c>
      <c r="G130" s="204">
        <v>0</v>
      </c>
      <c r="H130" s="204">
        <v>1366079</v>
      </c>
      <c r="I130" s="204">
        <v>232131</v>
      </c>
      <c r="J130" s="204">
        <v>0</v>
      </c>
      <c r="K130" s="204">
        <v>0</v>
      </c>
      <c r="L130" s="204">
        <v>0</v>
      </c>
      <c r="M130" s="204">
        <v>0</v>
      </c>
      <c r="N130" s="204">
        <v>0</v>
      </c>
      <c r="O130" s="204">
        <v>232131</v>
      </c>
      <c r="P130" s="204">
        <v>1598210</v>
      </c>
      <c r="Q130" s="204">
        <v>0</v>
      </c>
      <c r="R130" s="204">
        <v>0</v>
      </c>
      <c r="S130" s="204">
        <v>0</v>
      </c>
      <c r="T130" s="204">
        <v>0</v>
      </c>
      <c r="U130" s="204">
        <v>0</v>
      </c>
      <c r="V130" s="204">
        <v>1598210</v>
      </c>
      <c r="W130" s="204" t="s">
        <v>76</v>
      </c>
    </row>
    <row r="131" spans="1:23" s="184" customFormat="1">
      <c r="A131" s="190" t="s">
        <v>225</v>
      </c>
      <c r="B131" s="190">
        <v>21034</v>
      </c>
      <c r="C131" s="190"/>
      <c r="D131" s="190"/>
      <c r="E131" s="190"/>
      <c r="F131" s="190"/>
      <c r="G131" s="190"/>
      <c r="H131" s="190">
        <v>21034</v>
      </c>
      <c r="I131" s="190"/>
      <c r="J131" s="190"/>
      <c r="K131" s="190"/>
      <c r="L131" s="190"/>
      <c r="M131" s="190"/>
      <c r="N131" s="190"/>
      <c r="O131" s="190"/>
      <c r="P131" s="190">
        <v>21034</v>
      </c>
      <c r="Q131" s="190">
        <v>0</v>
      </c>
      <c r="R131" s="190">
        <v>0</v>
      </c>
      <c r="S131" s="190">
        <v>0</v>
      </c>
      <c r="T131" s="190">
        <v>0</v>
      </c>
      <c r="U131" s="190">
        <v>0</v>
      </c>
      <c r="V131" s="190">
        <v>21034</v>
      </c>
      <c r="W131" s="190" t="s">
        <v>76</v>
      </c>
    </row>
    <row r="132" spans="1:23" s="204" customFormat="1">
      <c r="A132" s="190" t="s">
        <v>226</v>
      </c>
      <c r="B132" s="190">
        <v>973384</v>
      </c>
      <c r="C132" s="190"/>
      <c r="D132" s="190"/>
      <c r="E132" s="190"/>
      <c r="F132" s="190"/>
      <c r="G132" s="190"/>
      <c r="H132" s="190">
        <v>973384</v>
      </c>
      <c r="I132" s="190">
        <v>214291</v>
      </c>
      <c r="J132" s="190"/>
      <c r="K132" s="190"/>
      <c r="L132" s="190"/>
      <c r="M132" s="190"/>
      <c r="N132" s="190"/>
      <c r="O132" s="190">
        <v>214291</v>
      </c>
      <c r="P132" s="190">
        <v>1187675</v>
      </c>
      <c r="Q132" s="190">
        <v>0</v>
      </c>
      <c r="R132" s="190">
        <v>0</v>
      </c>
      <c r="S132" s="190">
        <v>0</v>
      </c>
      <c r="T132" s="190">
        <v>0</v>
      </c>
      <c r="U132" s="190">
        <v>0</v>
      </c>
      <c r="V132" s="190">
        <v>1187675</v>
      </c>
      <c r="W132" s="190" t="s">
        <v>76</v>
      </c>
    </row>
    <row r="133" spans="1:23" s="184" customFormat="1">
      <c r="A133" s="190" t="s">
        <v>227</v>
      </c>
      <c r="B133" s="190">
        <v>118445</v>
      </c>
      <c r="C133" s="190"/>
      <c r="D133" s="190"/>
      <c r="E133" s="190"/>
      <c r="F133" s="190"/>
      <c r="G133" s="190"/>
      <c r="H133" s="190">
        <v>118445</v>
      </c>
      <c r="I133" s="190"/>
      <c r="J133" s="190"/>
      <c r="K133" s="190"/>
      <c r="L133" s="190"/>
      <c r="M133" s="190"/>
      <c r="N133" s="190"/>
      <c r="O133" s="190"/>
      <c r="P133" s="190">
        <v>118445</v>
      </c>
      <c r="Q133" s="190">
        <v>0</v>
      </c>
      <c r="R133" s="190">
        <v>0</v>
      </c>
      <c r="S133" s="190">
        <v>0</v>
      </c>
      <c r="T133" s="190">
        <v>0</v>
      </c>
      <c r="U133" s="190">
        <v>0</v>
      </c>
      <c r="V133" s="190">
        <v>118445</v>
      </c>
      <c r="W133" s="190" t="s">
        <v>76</v>
      </c>
    </row>
    <row r="134" spans="1:23" s="184" customFormat="1">
      <c r="A134" s="190" t="s">
        <v>228</v>
      </c>
      <c r="B134" s="190">
        <v>10157</v>
      </c>
      <c r="C134" s="190"/>
      <c r="D134" s="190"/>
      <c r="E134" s="190"/>
      <c r="F134" s="190"/>
      <c r="G134" s="190"/>
      <c r="H134" s="190">
        <v>10157</v>
      </c>
      <c r="I134" s="190">
        <v>9841</v>
      </c>
      <c r="J134" s="190"/>
      <c r="K134" s="190"/>
      <c r="L134" s="190"/>
      <c r="M134" s="190"/>
      <c r="N134" s="190"/>
      <c r="O134" s="190">
        <v>9841</v>
      </c>
      <c r="P134" s="190">
        <v>19998</v>
      </c>
      <c r="Q134" s="190">
        <v>0</v>
      </c>
      <c r="R134" s="190">
        <v>0</v>
      </c>
      <c r="S134" s="190">
        <v>0</v>
      </c>
      <c r="T134" s="190">
        <v>0</v>
      </c>
      <c r="U134" s="190">
        <v>0</v>
      </c>
      <c r="V134" s="190">
        <v>19998</v>
      </c>
      <c r="W134" s="190" t="s">
        <v>76</v>
      </c>
    </row>
    <row r="135" spans="1:23" s="184" customFormat="1">
      <c r="A135" s="190" t="s">
        <v>229</v>
      </c>
      <c r="B135" s="190"/>
      <c r="C135" s="190"/>
      <c r="D135" s="190"/>
      <c r="E135" s="190"/>
      <c r="F135" s="190"/>
      <c r="G135" s="190"/>
      <c r="H135" s="190"/>
      <c r="I135" s="190">
        <v>7999</v>
      </c>
      <c r="J135" s="190"/>
      <c r="K135" s="190"/>
      <c r="L135" s="190"/>
      <c r="M135" s="190"/>
      <c r="N135" s="190"/>
      <c r="O135" s="190">
        <v>7999</v>
      </c>
      <c r="P135" s="190">
        <v>7999</v>
      </c>
      <c r="Q135" s="190">
        <v>0</v>
      </c>
      <c r="R135" s="190">
        <v>0</v>
      </c>
      <c r="S135" s="190">
        <v>0</v>
      </c>
      <c r="T135" s="190">
        <v>0</v>
      </c>
      <c r="U135" s="190">
        <v>0</v>
      </c>
      <c r="V135" s="190">
        <v>7999</v>
      </c>
      <c r="W135" s="190" t="s">
        <v>76</v>
      </c>
    </row>
    <row r="136" spans="1:23" s="204" customFormat="1">
      <c r="A136" s="190" t="s">
        <v>230</v>
      </c>
      <c r="B136" s="190">
        <v>226255</v>
      </c>
      <c r="C136" s="190"/>
      <c r="D136" s="190"/>
      <c r="E136" s="190"/>
      <c r="F136" s="190"/>
      <c r="G136" s="190"/>
      <c r="H136" s="190">
        <v>226255</v>
      </c>
      <c r="I136" s="190"/>
      <c r="J136" s="190"/>
      <c r="K136" s="190"/>
      <c r="L136" s="190"/>
      <c r="M136" s="190"/>
      <c r="N136" s="190"/>
      <c r="O136" s="190"/>
      <c r="P136" s="190">
        <v>226255</v>
      </c>
      <c r="Q136" s="190">
        <v>0</v>
      </c>
      <c r="R136" s="190">
        <v>0</v>
      </c>
      <c r="S136" s="190">
        <v>0</v>
      </c>
      <c r="T136" s="190">
        <v>0</v>
      </c>
      <c r="U136" s="190">
        <v>0</v>
      </c>
      <c r="V136" s="190">
        <v>226255</v>
      </c>
      <c r="W136" s="190" t="s">
        <v>76</v>
      </c>
    </row>
    <row r="137" spans="1:23" s="184" customFormat="1">
      <c r="A137" s="213" t="s">
        <v>231</v>
      </c>
      <c r="B137" s="190">
        <v>16804</v>
      </c>
      <c r="C137" s="190"/>
      <c r="D137" s="190"/>
      <c r="E137" s="190"/>
      <c r="F137" s="190"/>
      <c r="G137" s="190"/>
      <c r="H137" s="190">
        <v>16804</v>
      </c>
      <c r="I137" s="190"/>
      <c r="J137" s="190"/>
      <c r="K137" s="190"/>
      <c r="L137" s="190"/>
      <c r="M137" s="190"/>
      <c r="N137" s="190"/>
      <c r="O137" s="190"/>
      <c r="P137" s="190">
        <v>16804</v>
      </c>
      <c r="Q137" s="190">
        <v>0</v>
      </c>
      <c r="R137" s="190">
        <v>0</v>
      </c>
      <c r="S137" s="190">
        <v>0</v>
      </c>
      <c r="T137" s="190">
        <v>0</v>
      </c>
      <c r="U137" s="190">
        <v>0</v>
      </c>
      <c r="V137" s="190">
        <v>16804</v>
      </c>
      <c r="W137" s="214" t="s">
        <v>83</v>
      </c>
    </row>
    <row r="138" spans="1:23" s="184" customFormat="1" ht="17" customHeight="1">
      <c r="A138" s="204" t="s">
        <v>115</v>
      </c>
      <c r="B138" s="204">
        <v>2506992</v>
      </c>
      <c r="C138" s="204">
        <v>0</v>
      </c>
      <c r="D138" s="204">
        <v>0</v>
      </c>
      <c r="E138" s="204">
        <v>1511</v>
      </c>
      <c r="F138" s="204">
        <v>2409</v>
      </c>
      <c r="G138" s="204">
        <v>0</v>
      </c>
      <c r="H138" s="204">
        <v>2510912</v>
      </c>
      <c r="I138" s="204">
        <v>93</v>
      </c>
      <c r="J138" s="204">
        <v>0</v>
      </c>
      <c r="K138" s="204">
        <v>0</v>
      </c>
      <c r="L138" s="204">
        <v>0</v>
      </c>
      <c r="M138" s="204">
        <v>0</v>
      </c>
      <c r="N138" s="204">
        <v>0</v>
      </c>
      <c r="O138" s="204">
        <v>93</v>
      </c>
      <c r="P138" s="204">
        <v>2507085</v>
      </c>
      <c r="Q138" s="204">
        <v>0</v>
      </c>
      <c r="R138" s="204">
        <v>0</v>
      </c>
      <c r="S138" s="204">
        <v>1511</v>
      </c>
      <c r="T138" s="204">
        <v>2409</v>
      </c>
      <c r="U138" s="204">
        <v>0</v>
      </c>
      <c r="V138" s="204">
        <v>2511005</v>
      </c>
      <c r="W138" s="204" t="s">
        <v>115</v>
      </c>
    </row>
    <row r="139" spans="1:23" s="184" customFormat="1">
      <c r="A139" s="190" t="s">
        <v>232</v>
      </c>
      <c r="B139" s="190">
        <v>2385941</v>
      </c>
      <c r="C139" s="190"/>
      <c r="D139" s="190"/>
      <c r="E139" s="190">
        <v>1511</v>
      </c>
      <c r="F139" s="190">
        <v>2409</v>
      </c>
      <c r="G139" s="190"/>
      <c r="H139" s="190">
        <v>2389861</v>
      </c>
      <c r="I139" s="190">
        <v>93</v>
      </c>
      <c r="J139" s="190"/>
      <c r="K139" s="190"/>
      <c r="L139" s="190"/>
      <c r="M139" s="190"/>
      <c r="N139" s="190"/>
      <c r="O139" s="190">
        <v>93</v>
      </c>
      <c r="P139" s="190">
        <v>2386034</v>
      </c>
      <c r="Q139" s="190">
        <v>0</v>
      </c>
      <c r="R139" s="190">
        <v>0</v>
      </c>
      <c r="S139" s="190">
        <v>1511</v>
      </c>
      <c r="T139" s="190">
        <v>2409</v>
      </c>
      <c r="U139" s="190">
        <v>0</v>
      </c>
      <c r="V139" s="190">
        <v>2389954</v>
      </c>
      <c r="W139" s="190" t="s">
        <v>64</v>
      </c>
    </row>
    <row r="140" spans="1:23" s="184" customFormat="1">
      <c r="A140" s="190" t="s">
        <v>233</v>
      </c>
      <c r="B140" s="190">
        <v>99</v>
      </c>
      <c r="C140" s="190"/>
      <c r="D140" s="190"/>
      <c r="E140" s="190"/>
      <c r="F140" s="190"/>
      <c r="G140" s="190"/>
      <c r="H140" s="190">
        <v>99</v>
      </c>
      <c r="I140" s="190"/>
      <c r="J140" s="190"/>
      <c r="K140" s="190"/>
      <c r="L140" s="190"/>
      <c r="M140" s="190"/>
      <c r="N140" s="190"/>
      <c r="O140" s="190"/>
      <c r="P140" s="190">
        <v>99</v>
      </c>
      <c r="Q140" s="190">
        <v>0</v>
      </c>
      <c r="R140" s="190">
        <v>0</v>
      </c>
      <c r="S140" s="190">
        <v>0</v>
      </c>
      <c r="T140" s="190">
        <v>0</v>
      </c>
      <c r="U140" s="190">
        <v>0</v>
      </c>
      <c r="V140" s="190">
        <v>99</v>
      </c>
      <c r="W140" s="190" t="s">
        <v>64</v>
      </c>
    </row>
    <row r="141" spans="1:23" s="184" customFormat="1">
      <c r="A141" s="190" t="s">
        <v>234</v>
      </c>
      <c r="B141" s="190">
        <v>114105</v>
      </c>
      <c r="C141" s="190"/>
      <c r="D141" s="190"/>
      <c r="E141" s="190"/>
      <c r="F141" s="190"/>
      <c r="G141" s="190"/>
      <c r="H141" s="190">
        <v>114105</v>
      </c>
      <c r="I141" s="190"/>
      <c r="J141" s="190"/>
      <c r="K141" s="190"/>
      <c r="L141" s="190"/>
      <c r="M141" s="190"/>
      <c r="N141" s="190"/>
      <c r="O141" s="190"/>
      <c r="P141" s="190">
        <v>114105</v>
      </c>
      <c r="Q141" s="190">
        <v>0</v>
      </c>
      <c r="R141" s="190">
        <v>0</v>
      </c>
      <c r="S141" s="190">
        <v>0</v>
      </c>
      <c r="T141" s="190">
        <v>0</v>
      </c>
      <c r="U141" s="190">
        <v>0</v>
      </c>
      <c r="V141" s="190">
        <v>114105</v>
      </c>
      <c r="W141" s="190" t="s">
        <v>64</v>
      </c>
    </row>
    <row r="142" spans="1:23" s="184" customFormat="1">
      <c r="A142" s="213" t="s">
        <v>235</v>
      </c>
      <c r="B142" s="190">
        <v>4882</v>
      </c>
      <c r="C142" s="190"/>
      <c r="D142" s="190"/>
      <c r="E142" s="190"/>
      <c r="F142" s="190"/>
      <c r="G142" s="190"/>
      <c r="H142" s="190">
        <v>4882</v>
      </c>
      <c r="I142" s="190"/>
      <c r="J142" s="190"/>
      <c r="K142" s="190"/>
      <c r="L142" s="190"/>
      <c r="M142" s="190"/>
      <c r="N142" s="190"/>
      <c r="O142" s="190"/>
      <c r="P142" s="190">
        <v>4882</v>
      </c>
      <c r="Q142" s="190">
        <v>0</v>
      </c>
      <c r="R142" s="190">
        <v>0</v>
      </c>
      <c r="S142" s="190">
        <v>0</v>
      </c>
      <c r="T142" s="190">
        <v>0</v>
      </c>
      <c r="U142" s="190">
        <v>0</v>
      </c>
      <c r="V142" s="190">
        <v>4882</v>
      </c>
      <c r="W142" s="214" t="s">
        <v>115</v>
      </c>
    </row>
    <row r="143" spans="1:23" s="184" customFormat="1">
      <c r="A143" s="213" t="s">
        <v>236</v>
      </c>
      <c r="B143" s="190">
        <v>1965</v>
      </c>
      <c r="C143" s="190"/>
      <c r="D143" s="190"/>
      <c r="E143" s="190"/>
      <c r="F143" s="190"/>
      <c r="G143" s="190"/>
      <c r="H143" s="190">
        <v>1965</v>
      </c>
      <c r="I143" s="190"/>
      <c r="J143" s="190"/>
      <c r="K143" s="190"/>
      <c r="L143" s="190"/>
      <c r="M143" s="190"/>
      <c r="N143" s="190"/>
      <c r="O143" s="190"/>
      <c r="P143" s="190">
        <v>1965</v>
      </c>
      <c r="Q143" s="190">
        <v>0</v>
      </c>
      <c r="R143" s="190">
        <v>0</v>
      </c>
      <c r="S143" s="190">
        <v>0</v>
      </c>
      <c r="T143" s="190">
        <v>0</v>
      </c>
      <c r="U143" s="190">
        <v>0</v>
      </c>
      <c r="V143" s="190">
        <v>1965</v>
      </c>
      <c r="W143" s="214" t="s">
        <v>115</v>
      </c>
    </row>
    <row r="144" spans="1:23" s="184" customFormat="1">
      <c r="A144" s="204" t="s">
        <v>237</v>
      </c>
      <c r="B144" s="204">
        <v>4457</v>
      </c>
      <c r="C144" s="204">
        <v>1238085</v>
      </c>
      <c r="D144" s="204">
        <v>0</v>
      </c>
      <c r="E144" s="204">
        <v>7098</v>
      </c>
      <c r="F144" s="204">
        <v>48321</v>
      </c>
      <c r="G144" s="204">
        <v>22048</v>
      </c>
      <c r="H144" s="204">
        <v>1320009</v>
      </c>
      <c r="I144" s="204">
        <v>0</v>
      </c>
      <c r="J144" s="204">
        <v>294994</v>
      </c>
      <c r="K144" s="204">
        <v>0</v>
      </c>
      <c r="L144" s="204">
        <v>0</v>
      </c>
      <c r="M144" s="204">
        <v>0</v>
      </c>
      <c r="N144" s="204">
        <v>0</v>
      </c>
      <c r="O144" s="204">
        <v>294994</v>
      </c>
      <c r="P144" s="204">
        <v>4457</v>
      </c>
      <c r="Q144" s="204">
        <v>1533079</v>
      </c>
      <c r="R144" s="204">
        <v>0</v>
      </c>
      <c r="S144" s="204">
        <v>7098</v>
      </c>
      <c r="T144" s="204">
        <v>48321</v>
      </c>
      <c r="U144" s="204">
        <v>22048</v>
      </c>
      <c r="V144" s="204">
        <v>1615003</v>
      </c>
      <c r="W144" s="204" t="s">
        <v>237</v>
      </c>
    </row>
    <row r="145" spans="1:23" s="184" customFormat="1">
      <c r="A145" s="190" t="s">
        <v>238</v>
      </c>
      <c r="B145" s="190"/>
      <c r="C145" s="190">
        <v>130</v>
      </c>
      <c r="D145" s="190"/>
      <c r="E145" s="190"/>
      <c r="F145" s="190"/>
      <c r="G145" s="190"/>
      <c r="H145" s="190">
        <v>130</v>
      </c>
      <c r="I145" s="190"/>
      <c r="J145" s="190"/>
      <c r="K145" s="190"/>
      <c r="L145" s="190"/>
      <c r="M145" s="190"/>
      <c r="N145" s="190"/>
      <c r="O145" s="190"/>
      <c r="P145" s="190">
        <v>0</v>
      </c>
      <c r="Q145" s="190">
        <v>130</v>
      </c>
      <c r="R145" s="190">
        <v>0</v>
      </c>
      <c r="S145" s="190">
        <v>0</v>
      </c>
      <c r="T145" s="190">
        <v>0</v>
      </c>
      <c r="U145" s="190">
        <v>0</v>
      </c>
      <c r="V145" s="190">
        <v>130</v>
      </c>
      <c r="W145" s="190" t="s">
        <v>82</v>
      </c>
    </row>
    <row r="146" spans="1:23" s="184" customFormat="1">
      <c r="A146" s="190" t="s">
        <v>239</v>
      </c>
      <c r="B146" s="190"/>
      <c r="C146" s="190">
        <v>556072</v>
      </c>
      <c r="D146" s="190"/>
      <c r="E146" s="190"/>
      <c r="F146" s="190"/>
      <c r="G146" s="190"/>
      <c r="H146" s="190">
        <v>556072</v>
      </c>
      <c r="I146" s="190"/>
      <c r="J146" s="190">
        <v>5914</v>
      </c>
      <c r="K146" s="190"/>
      <c r="L146" s="190"/>
      <c r="M146" s="190"/>
      <c r="N146" s="190"/>
      <c r="O146" s="190">
        <v>5914</v>
      </c>
      <c r="P146" s="190">
        <v>0</v>
      </c>
      <c r="Q146" s="190">
        <v>561986</v>
      </c>
      <c r="R146" s="190">
        <v>0</v>
      </c>
      <c r="S146" s="190">
        <v>0</v>
      </c>
      <c r="T146" s="190">
        <v>0</v>
      </c>
      <c r="U146" s="190">
        <v>0</v>
      </c>
      <c r="V146" s="190">
        <v>561986</v>
      </c>
      <c r="W146" s="190" t="s">
        <v>82</v>
      </c>
    </row>
    <row r="147" spans="1:23" s="184" customFormat="1">
      <c r="A147" s="190" t="s">
        <v>240</v>
      </c>
      <c r="B147" s="190">
        <v>4451</v>
      </c>
      <c r="C147" s="190"/>
      <c r="D147" s="190"/>
      <c r="E147" s="190"/>
      <c r="F147" s="190"/>
      <c r="G147" s="190"/>
      <c r="H147" s="190">
        <v>4451</v>
      </c>
      <c r="I147" s="190"/>
      <c r="J147" s="190"/>
      <c r="K147" s="190"/>
      <c r="L147" s="190"/>
      <c r="M147" s="190"/>
      <c r="N147" s="190"/>
      <c r="O147" s="190"/>
      <c r="P147" s="190">
        <v>4451</v>
      </c>
      <c r="Q147" s="190">
        <v>0</v>
      </c>
      <c r="R147" s="190">
        <v>0</v>
      </c>
      <c r="S147" s="190">
        <v>0</v>
      </c>
      <c r="T147" s="190">
        <v>0</v>
      </c>
      <c r="U147" s="190">
        <v>0</v>
      </c>
      <c r="V147" s="190">
        <v>4451</v>
      </c>
      <c r="W147" s="190" t="s">
        <v>82</v>
      </c>
    </row>
    <row r="148" spans="1:23" s="184" customFormat="1">
      <c r="A148" s="190" t="s">
        <v>241</v>
      </c>
      <c r="B148" s="190"/>
      <c r="C148" s="190">
        <v>202</v>
      </c>
      <c r="D148" s="190"/>
      <c r="E148" s="190"/>
      <c r="F148" s="190"/>
      <c r="G148" s="190"/>
      <c r="H148" s="190">
        <v>202</v>
      </c>
      <c r="I148" s="190"/>
      <c r="J148" s="190"/>
      <c r="K148" s="190"/>
      <c r="L148" s="190"/>
      <c r="M148" s="190"/>
      <c r="N148" s="190"/>
      <c r="O148" s="190"/>
      <c r="P148" s="190">
        <v>0</v>
      </c>
      <c r="Q148" s="190">
        <v>202</v>
      </c>
      <c r="R148" s="190">
        <v>0</v>
      </c>
      <c r="S148" s="190">
        <v>0</v>
      </c>
      <c r="T148" s="190">
        <v>0</v>
      </c>
      <c r="U148" s="190">
        <v>0</v>
      </c>
      <c r="V148" s="190">
        <v>202</v>
      </c>
      <c r="W148" s="190" t="s">
        <v>82</v>
      </c>
    </row>
    <row r="149" spans="1:23" s="184" customFormat="1">
      <c r="A149" s="190" t="s">
        <v>242</v>
      </c>
      <c r="B149" s="190">
        <v>6</v>
      </c>
      <c r="C149" s="190">
        <v>681681</v>
      </c>
      <c r="D149" s="190"/>
      <c r="E149" s="190">
        <v>7098</v>
      </c>
      <c r="F149" s="190">
        <v>48321</v>
      </c>
      <c r="G149" s="190"/>
      <c r="H149" s="190">
        <v>737106</v>
      </c>
      <c r="I149" s="190"/>
      <c r="J149" s="190">
        <v>289080</v>
      </c>
      <c r="K149" s="190"/>
      <c r="L149" s="190"/>
      <c r="M149" s="190"/>
      <c r="N149" s="190"/>
      <c r="O149" s="190">
        <v>289080</v>
      </c>
      <c r="P149" s="190">
        <v>6</v>
      </c>
      <c r="Q149" s="190">
        <v>970761</v>
      </c>
      <c r="R149" s="190">
        <v>0</v>
      </c>
      <c r="S149" s="190">
        <v>7098</v>
      </c>
      <c r="T149" s="190">
        <v>48321</v>
      </c>
      <c r="U149" s="190">
        <v>0</v>
      </c>
      <c r="V149" s="190">
        <v>1026186</v>
      </c>
      <c r="W149" s="190" t="s">
        <v>82</v>
      </c>
    </row>
    <row r="150" spans="1:23" s="184" customFormat="1">
      <c r="A150" s="190" t="s">
        <v>243</v>
      </c>
      <c r="B150" s="190"/>
      <c r="C150" s="190"/>
      <c r="D150" s="190"/>
      <c r="E150" s="190"/>
      <c r="F150" s="190"/>
      <c r="G150" s="190">
        <v>22048</v>
      </c>
      <c r="H150" s="190">
        <v>22048</v>
      </c>
      <c r="I150" s="190"/>
      <c r="J150" s="190"/>
      <c r="K150" s="190"/>
      <c r="L150" s="190"/>
      <c r="M150" s="190"/>
      <c r="N150" s="190"/>
      <c r="O150" s="190"/>
      <c r="P150" s="190">
        <v>0</v>
      </c>
      <c r="Q150" s="190">
        <v>0</v>
      </c>
      <c r="R150" s="190">
        <v>0</v>
      </c>
      <c r="S150" s="190">
        <v>0</v>
      </c>
      <c r="T150" s="190">
        <v>0</v>
      </c>
      <c r="U150" s="190">
        <v>22048</v>
      </c>
      <c r="V150" s="190">
        <v>22048</v>
      </c>
      <c r="W150" s="190" t="s">
        <v>82</v>
      </c>
    </row>
    <row r="151" spans="1:23" s="204" customFormat="1">
      <c r="A151" s="204" t="s">
        <v>61</v>
      </c>
      <c r="B151" s="204">
        <v>610767</v>
      </c>
      <c r="C151" s="204">
        <v>365198</v>
      </c>
      <c r="D151" s="204">
        <v>654888</v>
      </c>
      <c r="H151" s="204">
        <v>1630853</v>
      </c>
      <c r="J151" s="204">
        <v>2</v>
      </c>
      <c r="O151" s="204">
        <v>2</v>
      </c>
      <c r="P151" s="204">
        <v>610767</v>
      </c>
      <c r="Q151" s="204">
        <v>365200</v>
      </c>
      <c r="R151" s="204">
        <v>654888</v>
      </c>
      <c r="S151" s="204">
        <v>0</v>
      </c>
      <c r="T151" s="204">
        <v>0</v>
      </c>
      <c r="U151" s="204">
        <v>0</v>
      </c>
      <c r="V151" s="204">
        <v>1630855</v>
      </c>
      <c r="W151" s="204" t="s">
        <v>61</v>
      </c>
    </row>
    <row r="152" spans="1:23" s="184" customFormat="1">
      <c r="A152" s="204" t="s">
        <v>73</v>
      </c>
      <c r="B152" s="204">
        <v>1058223</v>
      </c>
      <c r="C152" s="204">
        <v>231626</v>
      </c>
      <c r="D152" s="204">
        <v>0</v>
      </c>
      <c r="E152" s="204">
        <v>13</v>
      </c>
      <c r="F152" s="204">
        <v>56902</v>
      </c>
      <c r="G152" s="204">
        <v>0</v>
      </c>
      <c r="H152" s="204">
        <v>1346764</v>
      </c>
      <c r="I152" s="204">
        <v>368705</v>
      </c>
      <c r="J152" s="204">
        <v>160</v>
      </c>
      <c r="K152" s="204">
        <v>0</v>
      </c>
      <c r="L152" s="204">
        <v>0</v>
      </c>
      <c r="M152" s="204">
        <v>0</v>
      </c>
      <c r="N152" s="204">
        <v>0</v>
      </c>
      <c r="O152" s="204">
        <v>368865</v>
      </c>
      <c r="P152" s="204">
        <v>1426928</v>
      </c>
      <c r="Q152" s="204">
        <v>231786</v>
      </c>
      <c r="R152" s="204">
        <v>0</v>
      </c>
      <c r="S152" s="204">
        <v>13</v>
      </c>
      <c r="T152" s="204">
        <v>56902</v>
      </c>
      <c r="U152" s="204">
        <v>0</v>
      </c>
      <c r="V152" s="204">
        <v>1715629</v>
      </c>
      <c r="W152" s="204" t="s">
        <v>73</v>
      </c>
    </row>
    <row r="153" spans="1:23" s="184" customFormat="1">
      <c r="A153" s="190" t="s">
        <v>244</v>
      </c>
      <c r="B153" s="190">
        <v>33214</v>
      </c>
      <c r="C153" s="190"/>
      <c r="D153" s="190"/>
      <c r="E153" s="190"/>
      <c r="F153" s="190"/>
      <c r="G153" s="190"/>
      <c r="H153" s="190">
        <v>33214</v>
      </c>
      <c r="I153" s="190"/>
      <c r="J153" s="190"/>
      <c r="K153" s="190"/>
      <c r="L153" s="190"/>
      <c r="M153" s="190"/>
      <c r="N153" s="190"/>
      <c r="O153" s="190"/>
      <c r="P153" s="190">
        <v>33214</v>
      </c>
      <c r="Q153" s="190">
        <v>0</v>
      </c>
      <c r="R153" s="190">
        <v>0</v>
      </c>
      <c r="S153" s="190">
        <v>0</v>
      </c>
      <c r="T153" s="190">
        <v>0</v>
      </c>
      <c r="U153" s="190">
        <v>0</v>
      </c>
      <c r="V153" s="190">
        <v>33214</v>
      </c>
      <c r="W153" s="190" t="s">
        <v>68</v>
      </c>
    </row>
    <row r="154" spans="1:23" s="184" customFormat="1">
      <c r="A154" s="190" t="s">
        <v>245</v>
      </c>
      <c r="B154" s="190">
        <v>23869</v>
      </c>
      <c r="C154" s="190"/>
      <c r="D154" s="190"/>
      <c r="E154" s="190"/>
      <c r="F154" s="190"/>
      <c r="G154" s="190"/>
      <c r="H154" s="190">
        <v>23869</v>
      </c>
      <c r="I154" s="190"/>
      <c r="J154" s="190"/>
      <c r="K154" s="190"/>
      <c r="L154" s="190"/>
      <c r="M154" s="190"/>
      <c r="N154" s="190"/>
      <c r="O154" s="190"/>
      <c r="P154" s="190">
        <v>23869</v>
      </c>
      <c r="Q154" s="190">
        <v>0</v>
      </c>
      <c r="R154" s="190">
        <v>0</v>
      </c>
      <c r="S154" s="190">
        <v>0</v>
      </c>
      <c r="T154" s="190">
        <v>0</v>
      </c>
      <c r="U154" s="190">
        <v>0</v>
      </c>
      <c r="V154" s="190">
        <v>23869</v>
      </c>
      <c r="W154" s="190" t="s">
        <v>68</v>
      </c>
    </row>
    <row r="155" spans="1:23" s="184" customFormat="1">
      <c r="A155" s="190" t="s">
        <v>246</v>
      </c>
      <c r="B155" s="190">
        <v>30292</v>
      </c>
      <c r="C155" s="190"/>
      <c r="D155" s="190"/>
      <c r="E155" s="190"/>
      <c r="F155" s="190"/>
      <c r="G155" s="190"/>
      <c r="H155" s="190">
        <v>30292</v>
      </c>
      <c r="I155" s="190"/>
      <c r="J155" s="190"/>
      <c r="K155" s="190"/>
      <c r="L155" s="190"/>
      <c r="M155" s="190"/>
      <c r="N155" s="190"/>
      <c r="O155" s="190"/>
      <c r="P155" s="190">
        <v>30292</v>
      </c>
      <c r="Q155" s="190">
        <v>0</v>
      </c>
      <c r="R155" s="190">
        <v>0</v>
      </c>
      <c r="S155" s="190">
        <v>0</v>
      </c>
      <c r="T155" s="190">
        <v>0</v>
      </c>
      <c r="U155" s="190">
        <v>0</v>
      </c>
      <c r="V155" s="190">
        <v>30292</v>
      </c>
      <c r="W155" s="190" t="s">
        <v>68</v>
      </c>
    </row>
    <row r="156" spans="1:23" s="184" customFormat="1">
      <c r="A156" s="190" t="s">
        <v>247</v>
      </c>
      <c r="B156" s="190">
        <v>34190</v>
      </c>
      <c r="C156" s="190">
        <v>2</v>
      </c>
      <c r="D156" s="190"/>
      <c r="E156" s="190"/>
      <c r="F156" s="190"/>
      <c r="G156" s="190"/>
      <c r="H156" s="190">
        <v>34192</v>
      </c>
      <c r="I156" s="190">
        <v>17063</v>
      </c>
      <c r="J156" s="190">
        <v>97</v>
      </c>
      <c r="K156" s="190"/>
      <c r="L156" s="190"/>
      <c r="M156" s="190"/>
      <c r="N156" s="190"/>
      <c r="O156" s="190">
        <v>17160</v>
      </c>
      <c r="P156" s="190">
        <v>51253</v>
      </c>
      <c r="Q156" s="190">
        <v>99</v>
      </c>
      <c r="R156" s="190">
        <v>0</v>
      </c>
      <c r="S156" s="190">
        <v>0</v>
      </c>
      <c r="T156" s="190">
        <v>0</v>
      </c>
      <c r="U156" s="190">
        <v>0</v>
      </c>
      <c r="V156" s="190">
        <v>51352</v>
      </c>
      <c r="W156" s="190" t="s">
        <v>68</v>
      </c>
    </row>
    <row r="157" spans="1:23" s="184" customFormat="1">
      <c r="A157" s="190" t="s">
        <v>248</v>
      </c>
      <c r="B157" s="190">
        <v>102730</v>
      </c>
      <c r="C157" s="190">
        <v>231624</v>
      </c>
      <c r="D157" s="190"/>
      <c r="E157" s="190">
        <v>13</v>
      </c>
      <c r="F157" s="190">
        <v>56902</v>
      </c>
      <c r="G157" s="190"/>
      <c r="H157" s="190">
        <v>391269</v>
      </c>
      <c r="I157" s="190"/>
      <c r="J157" s="190">
        <v>63</v>
      </c>
      <c r="K157" s="190"/>
      <c r="L157" s="190"/>
      <c r="M157" s="190"/>
      <c r="N157" s="190"/>
      <c r="O157" s="190">
        <v>63</v>
      </c>
      <c r="P157" s="190">
        <v>102730</v>
      </c>
      <c r="Q157" s="190">
        <v>231687</v>
      </c>
      <c r="R157" s="190">
        <v>0</v>
      </c>
      <c r="S157" s="190">
        <v>13</v>
      </c>
      <c r="T157" s="190">
        <v>56902</v>
      </c>
      <c r="U157" s="190">
        <v>0</v>
      </c>
      <c r="V157" s="190">
        <v>391332</v>
      </c>
      <c r="W157" s="190" t="s">
        <v>68</v>
      </c>
    </row>
    <row r="158" spans="1:23" s="204" customFormat="1">
      <c r="A158" s="190" t="s">
        <v>249</v>
      </c>
      <c r="B158" s="190">
        <v>15861</v>
      </c>
      <c r="C158" s="190"/>
      <c r="D158" s="190"/>
      <c r="E158" s="190"/>
      <c r="F158" s="190"/>
      <c r="G158" s="190"/>
      <c r="H158" s="190">
        <v>15861</v>
      </c>
      <c r="I158" s="190"/>
      <c r="J158" s="190"/>
      <c r="K158" s="190"/>
      <c r="L158" s="190"/>
      <c r="M158" s="190"/>
      <c r="N158" s="190"/>
      <c r="O158" s="190"/>
      <c r="P158" s="190">
        <v>15861</v>
      </c>
      <c r="Q158" s="190">
        <v>0</v>
      </c>
      <c r="R158" s="190">
        <v>0</v>
      </c>
      <c r="S158" s="190">
        <v>0</v>
      </c>
      <c r="T158" s="190">
        <v>0</v>
      </c>
      <c r="U158" s="190">
        <v>0</v>
      </c>
      <c r="V158" s="190">
        <v>15861</v>
      </c>
      <c r="W158" s="190" t="s">
        <v>68</v>
      </c>
    </row>
    <row r="159" spans="1:23" s="204" customFormat="1">
      <c r="A159" s="190" t="s">
        <v>250</v>
      </c>
      <c r="B159" s="190">
        <v>136411</v>
      </c>
      <c r="C159" s="190"/>
      <c r="D159" s="190"/>
      <c r="E159" s="190"/>
      <c r="F159" s="190"/>
      <c r="G159" s="190"/>
      <c r="H159" s="190">
        <v>136411</v>
      </c>
      <c r="I159" s="190"/>
      <c r="J159" s="190"/>
      <c r="K159" s="190"/>
      <c r="L159" s="190"/>
      <c r="M159" s="190"/>
      <c r="N159" s="190"/>
      <c r="O159" s="190"/>
      <c r="P159" s="190">
        <v>136411</v>
      </c>
      <c r="Q159" s="190">
        <v>0</v>
      </c>
      <c r="R159" s="190">
        <v>0</v>
      </c>
      <c r="S159" s="190">
        <v>0</v>
      </c>
      <c r="T159" s="190">
        <v>0</v>
      </c>
      <c r="U159" s="190">
        <v>0</v>
      </c>
      <c r="V159" s="190">
        <v>136411</v>
      </c>
      <c r="W159" s="190" t="s">
        <v>68</v>
      </c>
    </row>
    <row r="160" spans="1:23" s="184" customFormat="1">
      <c r="A160" s="190" t="s">
        <v>251</v>
      </c>
      <c r="B160" s="190">
        <v>681656</v>
      </c>
      <c r="C160" s="190"/>
      <c r="D160" s="190"/>
      <c r="E160" s="190"/>
      <c r="F160" s="190"/>
      <c r="G160" s="190"/>
      <c r="H160" s="190">
        <v>681656</v>
      </c>
      <c r="I160" s="190">
        <v>344141</v>
      </c>
      <c r="J160" s="190"/>
      <c r="K160" s="190"/>
      <c r="L160" s="190"/>
      <c r="M160" s="190"/>
      <c r="N160" s="190"/>
      <c r="O160" s="190">
        <v>344141</v>
      </c>
      <c r="P160" s="190">
        <v>1025797</v>
      </c>
      <c r="Q160" s="190">
        <v>0</v>
      </c>
      <c r="R160" s="190">
        <v>0</v>
      </c>
      <c r="S160" s="190">
        <v>0</v>
      </c>
      <c r="T160" s="190">
        <v>0</v>
      </c>
      <c r="U160" s="190">
        <v>0</v>
      </c>
      <c r="V160" s="190">
        <v>1025797</v>
      </c>
      <c r="W160" s="190" t="s">
        <v>68</v>
      </c>
    </row>
    <row r="161" spans="1:23" s="184" customFormat="1">
      <c r="A161" s="190" t="s">
        <v>252</v>
      </c>
      <c r="B161" s="190"/>
      <c r="C161" s="190"/>
      <c r="D161" s="190"/>
      <c r="E161" s="190"/>
      <c r="F161" s="190"/>
      <c r="G161" s="190"/>
      <c r="H161" s="190"/>
      <c r="I161" s="190">
        <v>7501</v>
      </c>
      <c r="J161" s="190"/>
      <c r="K161" s="190"/>
      <c r="L161" s="190"/>
      <c r="M161" s="190"/>
      <c r="N161" s="190"/>
      <c r="O161" s="190">
        <v>7501</v>
      </c>
      <c r="P161" s="190">
        <v>7501</v>
      </c>
      <c r="Q161" s="190">
        <v>0</v>
      </c>
      <c r="R161" s="190">
        <v>0</v>
      </c>
      <c r="S161" s="190">
        <v>0</v>
      </c>
      <c r="T161" s="190">
        <v>0</v>
      </c>
      <c r="U161" s="190">
        <v>0</v>
      </c>
      <c r="V161" s="190">
        <v>7501</v>
      </c>
      <c r="W161" s="190" t="s">
        <v>68</v>
      </c>
    </row>
    <row r="162" spans="1:23" s="184" customFormat="1">
      <c r="A162" s="204" t="s">
        <v>86</v>
      </c>
      <c r="B162" s="204">
        <v>740128</v>
      </c>
      <c r="C162" s="204">
        <v>1029</v>
      </c>
      <c r="D162" s="204">
        <v>0</v>
      </c>
      <c r="E162" s="204">
        <v>0</v>
      </c>
      <c r="F162" s="204">
        <v>0</v>
      </c>
      <c r="G162" s="204">
        <v>0</v>
      </c>
      <c r="H162" s="204">
        <v>741157</v>
      </c>
      <c r="I162" s="204">
        <v>160326</v>
      </c>
      <c r="J162" s="204">
        <v>380</v>
      </c>
      <c r="K162" s="204">
        <v>0</v>
      </c>
      <c r="L162" s="204">
        <v>0</v>
      </c>
      <c r="M162" s="204">
        <v>0</v>
      </c>
      <c r="N162" s="204">
        <v>0</v>
      </c>
      <c r="O162" s="204">
        <v>160706</v>
      </c>
      <c r="P162" s="204">
        <v>900454</v>
      </c>
      <c r="Q162" s="204">
        <v>1409</v>
      </c>
      <c r="R162" s="204">
        <v>0</v>
      </c>
      <c r="S162" s="204">
        <v>0</v>
      </c>
      <c r="T162" s="204">
        <v>0</v>
      </c>
      <c r="U162" s="204">
        <v>0</v>
      </c>
      <c r="V162" s="204">
        <v>901863</v>
      </c>
      <c r="W162" s="204" t="s">
        <v>81</v>
      </c>
    </row>
    <row r="163" spans="1:23" s="184" customFormat="1">
      <c r="A163" s="190" t="s">
        <v>253</v>
      </c>
      <c r="B163" s="190"/>
      <c r="C163" s="190">
        <v>713</v>
      </c>
      <c r="D163" s="190"/>
      <c r="E163" s="190"/>
      <c r="F163" s="190"/>
      <c r="G163" s="190"/>
      <c r="H163" s="190">
        <v>713</v>
      </c>
      <c r="I163" s="190">
        <v>160326</v>
      </c>
      <c r="J163" s="190">
        <v>380</v>
      </c>
      <c r="K163" s="190"/>
      <c r="L163" s="190"/>
      <c r="M163" s="190"/>
      <c r="N163" s="190"/>
      <c r="O163" s="190">
        <v>160706</v>
      </c>
      <c r="P163" s="190">
        <v>160326</v>
      </c>
      <c r="Q163" s="190">
        <v>1093</v>
      </c>
      <c r="R163" s="190">
        <v>0</v>
      </c>
      <c r="S163" s="190">
        <v>0</v>
      </c>
      <c r="T163" s="190">
        <v>0</v>
      </c>
      <c r="U163" s="190">
        <v>0</v>
      </c>
      <c r="V163" s="190">
        <v>161419</v>
      </c>
      <c r="W163" s="190" t="s">
        <v>81</v>
      </c>
    </row>
    <row r="164" spans="1:23" s="184" customFormat="1">
      <c r="A164" s="190" t="s">
        <v>254</v>
      </c>
      <c r="B164" s="190">
        <v>485695</v>
      </c>
      <c r="C164" s="190">
        <v>308</v>
      </c>
      <c r="D164" s="190"/>
      <c r="E164" s="190"/>
      <c r="F164" s="190"/>
      <c r="G164" s="190"/>
      <c r="H164" s="190">
        <v>486003</v>
      </c>
      <c r="I164" s="190"/>
      <c r="J164" s="190"/>
      <c r="K164" s="190"/>
      <c r="L164" s="190"/>
      <c r="M164" s="190"/>
      <c r="N164" s="190"/>
      <c r="O164" s="190"/>
      <c r="P164" s="190">
        <v>485695</v>
      </c>
      <c r="Q164" s="190">
        <v>308</v>
      </c>
      <c r="R164" s="190">
        <v>0</v>
      </c>
      <c r="S164" s="190">
        <v>0</v>
      </c>
      <c r="T164" s="190">
        <v>0</v>
      </c>
      <c r="U164" s="190">
        <v>0</v>
      </c>
      <c r="V164" s="190">
        <v>486003</v>
      </c>
      <c r="W164" s="190" t="s">
        <v>81</v>
      </c>
    </row>
    <row r="165" spans="1:23" s="184" customFormat="1">
      <c r="A165" s="190" t="s">
        <v>255</v>
      </c>
      <c r="B165" s="190">
        <v>85462</v>
      </c>
      <c r="C165" s="190"/>
      <c r="D165" s="190"/>
      <c r="E165" s="190"/>
      <c r="F165" s="190"/>
      <c r="G165" s="190"/>
      <c r="H165" s="190">
        <v>85462</v>
      </c>
      <c r="I165" s="190"/>
      <c r="J165" s="190"/>
      <c r="K165" s="190"/>
      <c r="L165" s="190"/>
      <c r="M165" s="190"/>
      <c r="N165" s="190"/>
      <c r="O165" s="190"/>
      <c r="P165" s="190">
        <v>85462</v>
      </c>
      <c r="Q165" s="190">
        <v>0</v>
      </c>
      <c r="R165" s="190">
        <v>0</v>
      </c>
      <c r="S165" s="190">
        <v>0</v>
      </c>
      <c r="T165" s="190">
        <v>0</v>
      </c>
      <c r="U165" s="190">
        <v>0</v>
      </c>
      <c r="V165" s="190">
        <v>85462</v>
      </c>
      <c r="W165" s="190" t="s">
        <v>81</v>
      </c>
    </row>
    <row r="166" spans="1:23" s="184" customFormat="1">
      <c r="A166" s="190" t="s">
        <v>256</v>
      </c>
      <c r="B166" s="190">
        <v>135566</v>
      </c>
      <c r="C166" s="190"/>
      <c r="D166" s="190"/>
      <c r="E166" s="190"/>
      <c r="F166" s="190"/>
      <c r="G166" s="190"/>
      <c r="H166" s="190">
        <v>135566</v>
      </c>
      <c r="I166" s="190"/>
      <c r="J166" s="190"/>
      <c r="K166" s="190"/>
      <c r="L166" s="190"/>
      <c r="M166" s="190"/>
      <c r="N166" s="190"/>
      <c r="O166" s="190"/>
      <c r="P166" s="190">
        <v>135566</v>
      </c>
      <c r="Q166" s="190">
        <v>0</v>
      </c>
      <c r="R166" s="190">
        <v>0</v>
      </c>
      <c r="S166" s="190">
        <v>0</v>
      </c>
      <c r="T166" s="190">
        <v>0</v>
      </c>
      <c r="U166" s="190">
        <v>0</v>
      </c>
      <c r="V166" s="190">
        <v>135566</v>
      </c>
      <c r="W166" s="190" t="s">
        <v>81</v>
      </c>
    </row>
    <row r="167" spans="1:23" s="184" customFormat="1">
      <c r="A167" s="190" t="s">
        <v>257</v>
      </c>
      <c r="B167" s="190">
        <v>33405</v>
      </c>
      <c r="C167" s="190">
        <v>8</v>
      </c>
      <c r="D167" s="190"/>
      <c r="E167" s="190"/>
      <c r="F167" s="190"/>
      <c r="G167" s="190"/>
      <c r="H167" s="190">
        <v>33413</v>
      </c>
      <c r="I167" s="190"/>
      <c r="J167" s="190"/>
      <c r="K167" s="190"/>
      <c r="L167" s="190"/>
      <c r="M167" s="190"/>
      <c r="N167" s="190"/>
      <c r="O167" s="190"/>
      <c r="P167" s="190">
        <v>33405</v>
      </c>
      <c r="Q167" s="190">
        <v>8</v>
      </c>
      <c r="R167" s="190">
        <v>0</v>
      </c>
      <c r="S167" s="190">
        <v>0</v>
      </c>
      <c r="T167" s="190">
        <v>0</v>
      </c>
      <c r="U167" s="190">
        <v>0</v>
      </c>
      <c r="V167" s="190">
        <v>33413</v>
      </c>
      <c r="W167" s="190" t="s">
        <v>81</v>
      </c>
    </row>
    <row r="168" spans="1:23" s="184" customFormat="1">
      <c r="A168" s="204" t="s">
        <v>166</v>
      </c>
      <c r="B168" s="204">
        <v>1551608</v>
      </c>
      <c r="C168" s="204">
        <v>323776</v>
      </c>
      <c r="D168" s="204">
        <v>140941</v>
      </c>
      <c r="E168" s="204">
        <v>13376</v>
      </c>
      <c r="F168" s="204">
        <v>2270</v>
      </c>
      <c r="G168" s="204">
        <v>18672</v>
      </c>
      <c r="H168" s="204">
        <v>2050643</v>
      </c>
      <c r="I168" s="204">
        <v>60517</v>
      </c>
      <c r="J168" s="204">
        <v>4312</v>
      </c>
      <c r="K168" s="204">
        <v>0</v>
      </c>
      <c r="L168" s="204">
        <v>0</v>
      </c>
      <c r="M168" s="204">
        <v>0</v>
      </c>
      <c r="N168" s="204">
        <v>0</v>
      </c>
      <c r="O168" s="204">
        <v>64829</v>
      </c>
      <c r="P168" s="204">
        <v>1612125</v>
      </c>
      <c r="Q168" s="204">
        <v>328088</v>
      </c>
      <c r="R168" s="204">
        <v>140941</v>
      </c>
      <c r="S168" s="204">
        <v>13376</v>
      </c>
      <c r="T168" s="204">
        <v>2270</v>
      </c>
      <c r="U168" s="204">
        <v>18672</v>
      </c>
      <c r="V168" s="204">
        <v>2115472</v>
      </c>
      <c r="W168" s="204" t="s">
        <v>72</v>
      </c>
    </row>
    <row r="169" spans="1:23" s="204" customFormat="1">
      <c r="A169" s="190" t="s">
        <v>258</v>
      </c>
      <c r="B169" s="190">
        <v>13344</v>
      </c>
      <c r="C169" s="190"/>
      <c r="D169" s="190"/>
      <c r="E169" s="190"/>
      <c r="F169" s="190"/>
      <c r="G169" s="190"/>
      <c r="H169" s="190">
        <v>13344</v>
      </c>
      <c r="I169" s="190"/>
      <c r="J169" s="190"/>
      <c r="K169" s="190"/>
      <c r="L169" s="190"/>
      <c r="M169" s="190"/>
      <c r="N169" s="190"/>
      <c r="O169" s="190"/>
      <c r="P169" s="190">
        <v>13344</v>
      </c>
      <c r="Q169" s="190">
        <v>0</v>
      </c>
      <c r="R169" s="190">
        <v>0</v>
      </c>
      <c r="S169" s="190">
        <v>0</v>
      </c>
      <c r="T169" s="190">
        <v>0</v>
      </c>
      <c r="U169" s="190">
        <v>0</v>
      </c>
      <c r="V169" s="190">
        <v>13344</v>
      </c>
      <c r="W169" s="190" t="s">
        <v>72</v>
      </c>
    </row>
    <row r="170" spans="1:23" s="184" customFormat="1">
      <c r="A170" s="190" t="s">
        <v>259</v>
      </c>
      <c r="B170" s="190">
        <v>1045563</v>
      </c>
      <c r="C170" s="190"/>
      <c r="D170" s="190"/>
      <c r="E170" s="190"/>
      <c r="F170" s="190"/>
      <c r="G170" s="190"/>
      <c r="H170" s="190">
        <v>1045563</v>
      </c>
      <c r="I170" s="190"/>
      <c r="J170" s="190"/>
      <c r="K170" s="190"/>
      <c r="L170" s="190"/>
      <c r="M170" s="190"/>
      <c r="N170" s="190"/>
      <c r="O170" s="190"/>
      <c r="P170" s="190">
        <v>1045563</v>
      </c>
      <c r="Q170" s="190">
        <v>0</v>
      </c>
      <c r="R170" s="190">
        <v>0</v>
      </c>
      <c r="S170" s="190">
        <v>0</v>
      </c>
      <c r="T170" s="190">
        <v>0</v>
      </c>
      <c r="U170" s="190">
        <v>0</v>
      </c>
      <c r="V170" s="190">
        <v>1045563</v>
      </c>
      <c r="W170" s="190" t="s">
        <v>72</v>
      </c>
    </row>
    <row r="171" spans="1:23" s="184" customFormat="1">
      <c r="A171" s="190" t="s">
        <v>260</v>
      </c>
      <c r="B171" s="190"/>
      <c r="C171" s="190">
        <v>17</v>
      </c>
      <c r="D171" s="190"/>
      <c r="E171" s="190"/>
      <c r="F171" s="190"/>
      <c r="G171" s="190"/>
      <c r="H171" s="190">
        <v>17</v>
      </c>
      <c r="I171" s="190"/>
      <c r="J171" s="190">
        <v>2000</v>
      </c>
      <c r="K171" s="190"/>
      <c r="L171" s="190"/>
      <c r="M171" s="190"/>
      <c r="N171" s="190"/>
      <c r="O171" s="190">
        <v>2000</v>
      </c>
      <c r="P171" s="190">
        <v>0</v>
      </c>
      <c r="Q171" s="190">
        <v>2017</v>
      </c>
      <c r="R171" s="190">
        <v>0</v>
      </c>
      <c r="S171" s="190">
        <v>0</v>
      </c>
      <c r="T171" s="190">
        <v>0</v>
      </c>
      <c r="U171" s="190">
        <v>0</v>
      </c>
      <c r="V171" s="190">
        <v>2017</v>
      </c>
      <c r="W171" s="190" t="s">
        <v>72</v>
      </c>
    </row>
    <row r="172" spans="1:23" s="184" customFormat="1">
      <c r="A172" s="190" t="s">
        <v>261</v>
      </c>
      <c r="B172" s="190">
        <v>20826</v>
      </c>
      <c r="C172" s="190"/>
      <c r="D172" s="190"/>
      <c r="E172" s="190"/>
      <c r="F172" s="190"/>
      <c r="G172" s="190"/>
      <c r="H172" s="190">
        <v>20826</v>
      </c>
      <c r="I172" s="190">
        <v>1</v>
      </c>
      <c r="J172" s="190"/>
      <c r="K172" s="190"/>
      <c r="L172" s="190"/>
      <c r="M172" s="190"/>
      <c r="N172" s="190"/>
      <c r="O172" s="190">
        <v>1</v>
      </c>
      <c r="P172" s="190">
        <v>20827</v>
      </c>
      <c r="Q172" s="190">
        <v>0</v>
      </c>
      <c r="R172" s="190">
        <v>0</v>
      </c>
      <c r="S172" s="190">
        <v>0</v>
      </c>
      <c r="T172" s="190">
        <v>0</v>
      </c>
      <c r="U172" s="190">
        <v>0</v>
      </c>
      <c r="V172" s="190">
        <v>20827</v>
      </c>
      <c r="W172" s="190" t="s">
        <v>72</v>
      </c>
    </row>
    <row r="173" spans="1:23" s="184" customFormat="1">
      <c r="A173" s="190" t="s">
        <v>262</v>
      </c>
      <c r="B173" s="190">
        <v>199978</v>
      </c>
      <c r="C173" s="190"/>
      <c r="D173" s="190"/>
      <c r="E173" s="190"/>
      <c r="F173" s="190"/>
      <c r="G173" s="190"/>
      <c r="H173" s="190">
        <v>199978</v>
      </c>
      <c r="I173" s="190"/>
      <c r="J173" s="190"/>
      <c r="K173" s="190"/>
      <c r="L173" s="190"/>
      <c r="M173" s="190"/>
      <c r="N173" s="190"/>
      <c r="O173" s="190"/>
      <c r="P173" s="190">
        <v>199978</v>
      </c>
      <c r="Q173" s="190">
        <v>0</v>
      </c>
      <c r="R173" s="190">
        <v>0</v>
      </c>
      <c r="S173" s="190">
        <v>0</v>
      </c>
      <c r="T173" s="190">
        <v>0</v>
      </c>
      <c r="U173" s="190">
        <v>0</v>
      </c>
      <c r="V173" s="190">
        <v>199978</v>
      </c>
      <c r="W173" s="190" t="s">
        <v>72</v>
      </c>
    </row>
    <row r="174" spans="1:23" s="184" customFormat="1">
      <c r="A174" s="190" t="s">
        <v>263</v>
      </c>
      <c r="B174" s="190"/>
      <c r="C174" s="190"/>
      <c r="D174" s="190"/>
      <c r="E174" s="190"/>
      <c r="F174" s="190"/>
      <c r="G174" s="190"/>
      <c r="H174" s="190"/>
      <c r="I174" s="190">
        <v>3573</v>
      </c>
      <c r="J174" s="190"/>
      <c r="K174" s="190"/>
      <c r="L174" s="190"/>
      <c r="M174" s="190"/>
      <c r="N174" s="190"/>
      <c r="O174" s="190">
        <v>3573</v>
      </c>
      <c r="P174" s="190">
        <v>3573</v>
      </c>
      <c r="Q174" s="190">
        <v>0</v>
      </c>
      <c r="R174" s="190">
        <v>0</v>
      </c>
      <c r="S174" s="190">
        <v>0</v>
      </c>
      <c r="T174" s="190">
        <v>0</v>
      </c>
      <c r="U174" s="190">
        <v>0</v>
      </c>
      <c r="V174" s="190">
        <v>3573</v>
      </c>
      <c r="W174" s="190" t="s">
        <v>72</v>
      </c>
    </row>
    <row r="175" spans="1:23" s="184" customFormat="1">
      <c r="A175" s="190" t="s">
        <v>264</v>
      </c>
      <c r="B175" s="190">
        <v>992</v>
      </c>
      <c r="C175" s="190">
        <v>36047</v>
      </c>
      <c r="D175" s="190">
        <v>12240</v>
      </c>
      <c r="E175" s="190"/>
      <c r="F175" s="190"/>
      <c r="G175" s="190">
        <v>1654</v>
      </c>
      <c r="H175" s="190">
        <v>50933</v>
      </c>
      <c r="I175" s="190"/>
      <c r="J175" s="190"/>
      <c r="K175" s="190"/>
      <c r="L175" s="190"/>
      <c r="M175" s="190"/>
      <c r="N175" s="190"/>
      <c r="O175" s="190"/>
      <c r="P175" s="190">
        <v>992</v>
      </c>
      <c r="Q175" s="190">
        <v>36047</v>
      </c>
      <c r="R175" s="190">
        <v>12240</v>
      </c>
      <c r="S175" s="190">
        <v>0</v>
      </c>
      <c r="T175" s="190">
        <v>0</v>
      </c>
      <c r="U175" s="190">
        <v>1654</v>
      </c>
      <c r="V175" s="190">
        <v>50933</v>
      </c>
      <c r="W175" s="190" t="s">
        <v>72</v>
      </c>
    </row>
    <row r="176" spans="1:23" s="204" customFormat="1">
      <c r="A176" s="190" t="s">
        <v>265</v>
      </c>
      <c r="B176" s="190"/>
      <c r="C176" s="190"/>
      <c r="D176" s="190"/>
      <c r="E176" s="190"/>
      <c r="F176" s="190"/>
      <c r="G176" s="190"/>
      <c r="H176" s="190"/>
      <c r="I176" s="190">
        <v>4679</v>
      </c>
      <c r="J176" s="190"/>
      <c r="K176" s="190"/>
      <c r="L176" s="190"/>
      <c r="M176" s="190"/>
      <c r="N176" s="190"/>
      <c r="O176" s="190">
        <v>4679</v>
      </c>
      <c r="P176" s="190">
        <v>4679</v>
      </c>
      <c r="Q176" s="190">
        <v>0</v>
      </c>
      <c r="R176" s="190">
        <v>0</v>
      </c>
      <c r="S176" s="190">
        <v>0</v>
      </c>
      <c r="T176" s="190">
        <v>0</v>
      </c>
      <c r="U176" s="190">
        <v>0</v>
      </c>
      <c r="V176" s="190">
        <v>4679</v>
      </c>
      <c r="W176" s="190" t="s">
        <v>72</v>
      </c>
    </row>
    <row r="177" spans="1:27" s="184" customFormat="1">
      <c r="A177" s="190" t="s">
        <v>266</v>
      </c>
      <c r="B177" s="190">
        <v>163877</v>
      </c>
      <c r="C177" s="190">
        <v>287712</v>
      </c>
      <c r="D177" s="190">
        <v>128701</v>
      </c>
      <c r="E177" s="190">
        <v>13376</v>
      </c>
      <c r="F177" s="190">
        <v>2270</v>
      </c>
      <c r="G177" s="190">
        <v>17018</v>
      </c>
      <c r="H177" s="190">
        <v>612954</v>
      </c>
      <c r="I177" s="190"/>
      <c r="J177" s="190">
        <v>2312</v>
      </c>
      <c r="K177" s="190"/>
      <c r="L177" s="190"/>
      <c r="M177" s="190"/>
      <c r="N177" s="190"/>
      <c r="O177" s="190">
        <v>2312</v>
      </c>
      <c r="P177" s="190">
        <v>163877</v>
      </c>
      <c r="Q177" s="190">
        <v>290024</v>
      </c>
      <c r="R177" s="190">
        <v>128701</v>
      </c>
      <c r="S177" s="190">
        <v>13376</v>
      </c>
      <c r="T177" s="190">
        <v>2270</v>
      </c>
      <c r="U177" s="190">
        <v>17018</v>
      </c>
      <c r="V177" s="190">
        <v>615266</v>
      </c>
      <c r="W177" s="190" t="s">
        <v>72</v>
      </c>
    </row>
    <row r="178" spans="1:27" s="184" customFormat="1">
      <c r="A178" s="190" t="s">
        <v>267</v>
      </c>
      <c r="B178" s="190"/>
      <c r="C178" s="190"/>
      <c r="D178" s="190"/>
      <c r="E178" s="190"/>
      <c r="F178" s="190"/>
      <c r="G178" s="190"/>
      <c r="H178" s="190"/>
      <c r="I178" s="190">
        <v>52264</v>
      </c>
      <c r="J178" s="190"/>
      <c r="K178" s="190"/>
      <c r="L178" s="190"/>
      <c r="M178" s="190"/>
      <c r="N178" s="190"/>
      <c r="O178" s="190">
        <v>52264</v>
      </c>
      <c r="P178" s="190">
        <v>52264</v>
      </c>
      <c r="Q178" s="190">
        <v>0</v>
      </c>
      <c r="R178" s="190">
        <v>0</v>
      </c>
      <c r="S178" s="190">
        <v>0</v>
      </c>
      <c r="T178" s="190">
        <v>0</v>
      </c>
      <c r="U178" s="190">
        <v>0</v>
      </c>
      <c r="V178" s="190">
        <v>52264</v>
      </c>
      <c r="W178" s="190" t="s">
        <v>72</v>
      </c>
    </row>
    <row r="179" spans="1:27" s="184" customFormat="1">
      <c r="A179" s="190" t="s">
        <v>268</v>
      </c>
      <c r="B179" s="190">
        <v>49</v>
      </c>
      <c r="C179" s="190"/>
      <c r="D179" s="190"/>
      <c r="E179" s="190"/>
      <c r="F179" s="190"/>
      <c r="G179" s="190"/>
      <c r="H179" s="190">
        <v>49</v>
      </c>
      <c r="I179" s="190"/>
      <c r="J179" s="190"/>
      <c r="K179" s="190"/>
      <c r="L179" s="190"/>
      <c r="M179" s="190"/>
      <c r="N179" s="190"/>
      <c r="O179" s="190"/>
      <c r="P179" s="190">
        <v>49</v>
      </c>
      <c r="Q179" s="190">
        <v>0</v>
      </c>
      <c r="R179" s="190">
        <v>0</v>
      </c>
      <c r="S179" s="190">
        <v>0</v>
      </c>
      <c r="T179" s="190">
        <v>0</v>
      </c>
      <c r="U179" s="190">
        <v>0</v>
      </c>
      <c r="V179" s="190">
        <v>49</v>
      </c>
      <c r="W179" s="190" t="s">
        <v>72</v>
      </c>
    </row>
    <row r="180" spans="1:27" s="204" customFormat="1">
      <c r="A180" s="190" t="s">
        <v>269</v>
      </c>
      <c r="B180" s="190">
        <v>105352</v>
      </c>
      <c r="C180" s="190"/>
      <c r="D180" s="190"/>
      <c r="E180" s="190"/>
      <c r="F180" s="190"/>
      <c r="G180" s="190"/>
      <c r="H180" s="190">
        <v>105352</v>
      </c>
      <c r="I180" s="190"/>
      <c r="J180" s="190"/>
      <c r="K180" s="190"/>
      <c r="L180" s="190"/>
      <c r="M180" s="190"/>
      <c r="N180" s="190"/>
      <c r="O180" s="190"/>
      <c r="P180" s="190">
        <v>105352</v>
      </c>
      <c r="Q180" s="190">
        <v>0</v>
      </c>
      <c r="R180" s="190">
        <v>0</v>
      </c>
      <c r="S180" s="190">
        <v>0</v>
      </c>
      <c r="T180" s="190">
        <v>0</v>
      </c>
      <c r="U180" s="190">
        <v>0</v>
      </c>
      <c r="V180" s="190">
        <v>105352</v>
      </c>
      <c r="W180" s="190" t="s">
        <v>72</v>
      </c>
    </row>
    <row r="181" spans="1:27" s="204" customFormat="1">
      <c r="A181" s="213" t="s">
        <v>270</v>
      </c>
      <c r="B181" s="190">
        <v>1627</v>
      </c>
      <c r="C181" s="190"/>
      <c r="D181" s="190"/>
      <c r="E181" s="190"/>
      <c r="F181" s="190"/>
      <c r="G181" s="190"/>
      <c r="H181" s="190">
        <v>1627</v>
      </c>
      <c r="I181" s="190"/>
      <c r="J181" s="190"/>
      <c r="K181" s="190"/>
      <c r="L181" s="190"/>
      <c r="M181" s="190"/>
      <c r="N181" s="190"/>
      <c r="O181" s="190"/>
      <c r="P181" s="190">
        <v>1627</v>
      </c>
      <c r="Q181" s="190">
        <v>0</v>
      </c>
      <c r="R181" s="190">
        <v>0</v>
      </c>
      <c r="S181" s="190">
        <v>0</v>
      </c>
      <c r="T181" s="190">
        <v>0</v>
      </c>
      <c r="U181" s="190">
        <v>0</v>
      </c>
      <c r="V181" s="190">
        <v>1627</v>
      </c>
      <c r="W181" s="214" t="s">
        <v>166</v>
      </c>
    </row>
    <row r="182" spans="1:27" s="184" customFormat="1">
      <c r="A182" s="204" t="s">
        <v>143</v>
      </c>
      <c r="B182" s="204">
        <v>107161</v>
      </c>
      <c r="C182" s="204">
        <v>134065</v>
      </c>
      <c r="D182" s="204">
        <v>80101</v>
      </c>
      <c r="E182" s="204">
        <v>9838</v>
      </c>
      <c r="F182" s="204">
        <v>554835</v>
      </c>
      <c r="G182" s="204">
        <v>5073</v>
      </c>
      <c r="H182" s="204">
        <v>891073</v>
      </c>
      <c r="I182" s="204">
        <v>0</v>
      </c>
      <c r="J182" s="204">
        <v>10483</v>
      </c>
      <c r="K182" s="204">
        <v>0</v>
      </c>
      <c r="L182" s="204">
        <v>0</v>
      </c>
      <c r="M182" s="204">
        <v>167787</v>
      </c>
      <c r="N182" s="204">
        <v>0</v>
      </c>
      <c r="O182" s="204">
        <v>178270</v>
      </c>
      <c r="P182" s="204">
        <v>107161</v>
      </c>
      <c r="Q182" s="204">
        <v>144548</v>
      </c>
      <c r="R182" s="204">
        <v>80101</v>
      </c>
      <c r="S182" s="204">
        <v>9838</v>
      </c>
      <c r="T182" s="204">
        <v>722622</v>
      </c>
      <c r="U182" s="204">
        <v>5073</v>
      </c>
      <c r="V182" s="204">
        <v>1069343</v>
      </c>
      <c r="W182" s="204" t="s">
        <v>79</v>
      </c>
      <c r="X182" s="208"/>
    </row>
    <row r="183" spans="1:27" s="184" customFormat="1">
      <c r="A183" s="190" t="s">
        <v>271</v>
      </c>
      <c r="B183" s="190">
        <v>24834</v>
      </c>
      <c r="C183" s="190">
        <v>24417</v>
      </c>
      <c r="D183" s="190">
        <v>8374</v>
      </c>
      <c r="E183" s="190">
        <v>697</v>
      </c>
      <c r="F183" s="190">
        <v>373</v>
      </c>
      <c r="G183" s="190">
        <v>54</v>
      </c>
      <c r="H183" s="190">
        <v>58749</v>
      </c>
      <c r="I183" s="190"/>
      <c r="J183" s="190">
        <v>483</v>
      </c>
      <c r="K183" s="190"/>
      <c r="L183" s="190"/>
      <c r="M183" s="190"/>
      <c r="N183" s="190"/>
      <c r="O183" s="190">
        <v>483</v>
      </c>
      <c r="P183" s="190">
        <v>24834</v>
      </c>
      <c r="Q183" s="190">
        <v>24900</v>
      </c>
      <c r="R183" s="190">
        <v>8374</v>
      </c>
      <c r="S183" s="190">
        <v>697</v>
      </c>
      <c r="T183" s="190">
        <v>373</v>
      </c>
      <c r="U183" s="190">
        <v>54</v>
      </c>
      <c r="V183" s="190">
        <v>59232</v>
      </c>
      <c r="W183" s="190" t="s">
        <v>79</v>
      </c>
    </row>
    <row r="184" spans="1:27" s="184" customFormat="1">
      <c r="A184" s="190" t="s">
        <v>272</v>
      </c>
      <c r="B184" s="190">
        <v>82327</v>
      </c>
      <c r="C184" s="190">
        <v>109648</v>
      </c>
      <c r="D184" s="190">
        <v>71727</v>
      </c>
      <c r="E184" s="190">
        <v>9141</v>
      </c>
      <c r="F184" s="190">
        <v>3591</v>
      </c>
      <c r="G184" s="190">
        <v>5019</v>
      </c>
      <c r="H184" s="190">
        <v>281453</v>
      </c>
      <c r="I184" s="190"/>
      <c r="J184" s="190">
        <v>10000</v>
      </c>
      <c r="K184" s="190"/>
      <c r="L184" s="190"/>
      <c r="M184" s="190"/>
      <c r="N184" s="190"/>
      <c r="O184" s="190">
        <v>10000</v>
      </c>
      <c r="P184" s="190">
        <v>82327</v>
      </c>
      <c r="Q184" s="190">
        <v>119648</v>
      </c>
      <c r="R184" s="190">
        <v>71727</v>
      </c>
      <c r="S184" s="190">
        <v>9141</v>
      </c>
      <c r="T184" s="190">
        <v>3591</v>
      </c>
      <c r="U184" s="190">
        <v>5019</v>
      </c>
      <c r="V184" s="190">
        <v>291453</v>
      </c>
      <c r="W184" s="190" t="s">
        <v>79</v>
      </c>
    </row>
    <row r="185" spans="1:27" s="184" customFormat="1">
      <c r="A185" s="190" t="s">
        <v>273</v>
      </c>
      <c r="B185" s="190"/>
      <c r="C185" s="190"/>
      <c r="D185" s="190"/>
      <c r="E185" s="190"/>
      <c r="F185" s="190">
        <v>550871</v>
      </c>
      <c r="G185" s="190"/>
      <c r="H185" s="190">
        <v>550871</v>
      </c>
      <c r="I185" s="190"/>
      <c r="J185" s="190"/>
      <c r="K185" s="190"/>
      <c r="L185" s="190"/>
      <c r="M185" s="190">
        <v>167787</v>
      </c>
      <c r="N185" s="190"/>
      <c r="O185" s="190">
        <v>167787</v>
      </c>
      <c r="P185" s="190">
        <v>0</v>
      </c>
      <c r="Q185" s="190">
        <v>0</v>
      </c>
      <c r="R185" s="190">
        <v>0</v>
      </c>
      <c r="S185" s="190">
        <v>0</v>
      </c>
      <c r="T185" s="190">
        <v>718658</v>
      </c>
      <c r="U185" s="190">
        <v>0</v>
      </c>
      <c r="V185" s="190">
        <v>718658</v>
      </c>
      <c r="W185" s="190" t="s">
        <v>79</v>
      </c>
      <c r="AA185" s="208"/>
    </row>
    <row r="186" spans="1:27" s="184" customFormat="1">
      <c r="A186" s="204" t="s">
        <v>97</v>
      </c>
      <c r="B186" s="204">
        <v>86500</v>
      </c>
      <c r="C186" s="204">
        <v>182074</v>
      </c>
      <c r="D186" s="204">
        <v>363354</v>
      </c>
      <c r="E186" s="204">
        <v>173721</v>
      </c>
      <c r="F186" s="204"/>
      <c r="G186" s="204"/>
      <c r="H186" s="204">
        <v>805649</v>
      </c>
      <c r="I186" s="204"/>
      <c r="J186" s="204">
        <v>121</v>
      </c>
      <c r="K186" s="204"/>
      <c r="L186" s="204">
        <v>3769</v>
      </c>
      <c r="M186" s="204"/>
      <c r="N186" s="204"/>
      <c r="O186" s="204">
        <v>3890</v>
      </c>
      <c r="P186" s="204">
        <v>86500</v>
      </c>
      <c r="Q186" s="204">
        <v>182195</v>
      </c>
      <c r="R186" s="204">
        <v>363354</v>
      </c>
      <c r="S186" s="204">
        <v>177490</v>
      </c>
      <c r="T186" s="204">
        <v>0</v>
      </c>
      <c r="U186" s="204">
        <v>0</v>
      </c>
      <c r="V186" s="204">
        <v>809539</v>
      </c>
      <c r="W186" s="204" t="s">
        <v>97</v>
      </c>
    </row>
    <row r="187" spans="1:27" s="204" customFormat="1">
      <c r="A187" s="204" t="s">
        <v>90</v>
      </c>
      <c r="B187" s="204">
        <v>742320</v>
      </c>
      <c r="C187" s="204">
        <v>0</v>
      </c>
      <c r="D187" s="204">
        <v>0</v>
      </c>
      <c r="E187" s="204">
        <v>0</v>
      </c>
      <c r="F187" s="204">
        <v>0</v>
      </c>
      <c r="G187" s="204">
        <v>0</v>
      </c>
      <c r="H187" s="204">
        <v>742320</v>
      </c>
      <c r="I187" s="204">
        <v>32930</v>
      </c>
      <c r="J187" s="204">
        <v>0</v>
      </c>
      <c r="K187" s="204">
        <v>0</v>
      </c>
      <c r="L187" s="204">
        <v>0</v>
      </c>
      <c r="M187" s="204">
        <v>0</v>
      </c>
      <c r="N187" s="204">
        <v>0</v>
      </c>
      <c r="O187" s="204">
        <v>32930</v>
      </c>
      <c r="P187" s="204">
        <v>775250</v>
      </c>
      <c r="Q187" s="204">
        <v>0</v>
      </c>
      <c r="R187" s="204">
        <v>0</v>
      </c>
      <c r="S187" s="204">
        <v>0</v>
      </c>
      <c r="T187" s="204">
        <v>0</v>
      </c>
      <c r="U187" s="204">
        <v>0</v>
      </c>
      <c r="V187" s="204">
        <v>775250</v>
      </c>
      <c r="W187" s="204" t="s">
        <v>142</v>
      </c>
    </row>
    <row r="188" spans="1:27" s="190" customFormat="1">
      <c r="A188" s="190" t="s">
        <v>274</v>
      </c>
      <c r="B188" s="190">
        <v>496252</v>
      </c>
      <c r="H188" s="190">
        <v>496252</v>
      </c>
      <c r="P188" s="190">
        <v>496252</v>
      </c>
      <c r="Q188" s="190">
        <v>0</v>
      </c>
      <c r="R188" s="190">
        <v>0</v>
      </c>
      <c r="S188" s="190">
        <v>0</v>
      </c>
      <c r="T188" s="190">
        <v>0</v>
      </c>
      <c r="U188" s="190">
        <v>0</v>
      </c>
      <c r="V188" s="190">
        <v>496252</v>
      </c>
      <c r="W188" s="190" t="s">
        <v>142</v>
      </c>
    </row>
    <row r="189" spans="1:27" s="190" customFormat="1">
      <c r="A189" s="190" t="s">
        <v>275</v>
      </c>
      <c r="B189" s="190">
        <v>46059</v>
      </c>
      <c r="H189" s="190">
        <v>46059</v>
      </c>
      <c r="P189" s="190">
        <v>46059</v>
      </c>
      <c r="Q189" s="190">
        <v>0</v>
      </c>
      <c r="R189" s="190">
        <v>0</v>
      </c>
      <c r="S189" s="190">
        <v>0</v>
      </c>
      <c r="T189" s="190">
        <v>0</v>
      </c>
      <c r="U189" s="190">
        <v>0</v>
      </c>
      <c r="V189" s="190">
        <v>46059</v>
      </c>
      <c r="W189" s="190" t="s">
        <v>142</v>
      </c>
    </row>
    <row r="190" spans="1:27" s="190" customFormat="1">
      <c r="A190" s="190" t="s">
        <v>276</v>
      </c>
      <c r="B190" s="190">
        <v>153</v>
      </c>
      <c r="H190" s="190">
        <v>153</v>
      </c>
      <c r="P190" s="190">
        <v>153</v>
      </c>
      <c r="Q190" s="190">
        <v>0</v>
      </c>
      <c r="R190" s="190">
        <v>0</v>
      </c>
      <c r="S190" s="190">
        <v>0</v>
      </c>
      <c r="T190" s="190">
        <v>0</v>
      </c>
      <c r="U190" s="190">
        <v>0</v>
      </c>
      <c r="V190" s="190">
        <v>153</v>
      </c>
      <c r="W190" s="190" t="s">
        <v>142</v>
      </c>
    </row>
    <row r="191" spans="1:27" s="190" customFormat="1">
      <c r="A191" s="190" t="s">
        <v>277</v>
      </c>
      <c r="B191" s="190">
        <v>179876</v>
      </c>
      <c r="H191" s="190">
        <v>179876</v>
      </c>
      <c r="P191" s="190">
        <v>179876</v>
      </c>
      <c r="Q191" s="190">
        <v>0</v>
      </c>
      <c r="R191" s="190">
        <v>0</v>
      </c>
      <c r="S191" s="190">
        <v>0</v>
      </c>
      <c r="T191" s="190">
        <v>0</v>
      </c>
      <c r="U191" s="190">
        <v>0</v>
      </c>
      <c r="V191" s="190">
        <v>179876</v>
      </c>
      <c r="W191" s="190" t="s">
        <v>142</v>
      </c>
    </row>
    <row r="192" spans="1:27" s="190" customFormat="1">
      <c r="A192" s="190" t="s">
        <v>278</v>
      </c>
      <c r="B192" s="190">
        <v>18803</v>
      </c>
      <c r="H192" s="190">
        <v>18803</v>
      </c>
      <c r="P192" s="190">
        <v>18803</v>
      </c>
      <c r="Q192" s="190">
        <v>0</v>
      </c>
      <c r="R192" s="190">
        <v>0</v>
      </c>
      <c r="S192" s="190">
        <v>0</v>
      </c>
      <c r="T192" s="190">
        <v>0</v>
      </c>
      <c r="U192" s="190">
        <v>0</v>
      </c>
      <c r="V192" s="190">
        <v>18803</v>
      </c>
      <c r="W192" s="190" t="s">
        <v>142</v>
      </c>
    </row>
    <row r="193" spans="1:23" s="190" customFormat="1">
      <c r="A193" s="190" t="s">
        <v>279</v>
      </c>
      <c r="B193" s="190">
        <v>109</v>
      </c>
      <c r="H193" s="190">
        <v>109</v>
      </c>
      <c r="I193" s="190">
        <v>32809</v>
      </c>
      <c r="O193" s="190">
        <v>32809</v>
      </c>
      <c r="P193" s="190">
        <v>32918</v>
      </c>
      <c r="Q193" s="190">
        <v>0</v>
      </c>
      <c r="R193" s="190">
        <v>0</v>
      </c>
      <c r="S193" s="190">
        <v>0</v>
      </c>
      <c r="T193" s="190">
        <v>0</v>
      </c>
      <c r="U193" s="190">
        <v>0</v>
      </c>
      <c r="V193" s="190">
        <v>32918</v>
      </c>
      <c r="W193" s="190" t="s">
        <v>142</v>
      </c>
    </row>
    <row r="194" spans="1:23" s="190" customFormat="1">
      <c r="A194" s="190" t="s">
        <v>280</v>
      </c>
      <c r="B194" s="190">
        <v>305</v>
      </c>
      <c r="H194" s="190">
        <v>305</v>
      </c>
      <c r="P194" s="190">
        <v>305</v>
      </c>
      <c r="Q194" s="190">
        <v>0</v>
      </c>
      <c r="R194" s="190">
        <v>0</v>
      </c>
      <c r="S194" s="190">
        <v>0</v>
      </c>
      <c r="T194" s="190">
        <v>0</v>
      </c>
      <c r="U194" s="190">
        <v>0</v>
      </c>
      <c r="V194" s="190">
        <v>305</v>
      </c>
      <c r="W194" s="190" t="s">
        <v>142</v>
      </c>
    </row>
    <row r="195" spans="1:23" s="190" customFormat="1">
      <c r="A195" s="190" t="s">
        <v>281</v>
      </c>
      <c r="I195" s="190">
        <v>121</v>
      </c>
      <c r="O195" s="190">
        <v>121</v>
      </c>
      <c r="P195" s="190">
        <v>121</v>
      </c>
      <c r="Q195" s="190">
        <v>0</v>
      </c>
      <c r="R195" s="190">
        <v>0</v>
      </c>
      <c r="S195" s="190">
        <v>0</v>
      </c>
      <c r="T195" s="190">
        <v>0</v>
      </c>
      <c r="U195" s="190">
        <v>0</v>
      </c>
      <c r="V195" s="190">
        <v>121</v>
      </c>
      <c r="W195" s="190" t="s">
        <v>142</v>
      </c>
    </row>
    <row r="196" spans="1:23" s="190" customFormat="1">
      <c r="A196" s="190" t="s">
        <v>282</v>
      </c>
      <c r="B196" s="190">
        <v>446</v>
      </c>
      <c r="H196" s="190">
        <v>446</v>
      </c>
      <c r="P196" s="190">
        <v>446</v>
      </c>
      <c r="Q196" s="190">
        <v>0</v>
      </c>
      <c r="R196" s="190">
        <v>0</v>
      </c>
      <c r="S196" s="190">
        <v>0</v>
      </c>
      <c r="T196" s="190">
        <v>0</v>
      </c>
      <c r="U196" s="190">
        <v>0</v>
      </c>
      <c r="V196" s="190">
        <v>446</v>
      </c>
      <c r="W196" s="190" t="s">
        <v>142</v>
      </c>
    </row>
    <row r="197" spans="1:23" s="190" customFormat="1">
      <c r="A197" s="190" t="s">
        <v>283</v>
      </c>
      <c r="B197" s="190">
        <v>317</v>
      </c>
      <c r="H197" s="190">
        <v>317</v>
      </c>
      <c r="P197" s="190">
        <v>317</v>
      </c>
      <c r="Q197" s="190">
        <v>0</v>
      </c>
      <c r="R197" s="190">
        <v>0</v>
      </c>
      <c r="S197" s="190">
        <v>0</v>
      </c>
      <c r="T197" s="190">
        <v>0</v>
      </c>
      <c r="U197" s="190">
        <v>0</v>
      </c>
      <c r="V197" s="190">
        <v>317</v>
      </c>
      <c r="W197" s="190" t="s">
        <v>142</v>
      </c>
    </row>
    <row r="199" spans="1:23" s="1" customFormat="1"/>
    <row r="207" spans="1:23" s="1" customFormat="1"/>
    <row r="229" s="1" customFormat="1"/>
    <row r="232" s="1" customFormat="1"/>
    <row r="235" s="1" customFormat="1"/>
    <row r="239" s="1" customFormat="1"/>
    <row r="243" s="1" customFormat="1"/>
    <row r="247" s="1" customFormat="1"/>
    <row r="255" s="1" customFormat="1"/>
    <row r="261" s="1" customFormat="1"/>
    <row r="268" s="1" customFormat="1"/>
    <row r="269" s="1" customFormat="1"/>
    <row r="279" s="1" customFormat="1"/>
    <row r="285" s="1" customFormat="1"/>
    <row r="299" s="1" customFormat="1"/>
    <row r="303" s="1" customFormat="1"/>
    <row r="304" s="1" customFormat="1"/>
  </sheetData>
  <sheetProtection algorithmName="SHA-512" hashValue="ssNOeWwiQQZSXoRBBDF8JsRALIi9qAc0hYH5j0U0QAqv0PPEVAcmjdFe5oQ/0I0uKKnYdKMhK401oxuBjEufTg==" saltValue="ZUHLOTOJsRs40UagpWKH1A==" spinCount="100000" sheet="1" objects="1" scenarios="1" selectLockedCells="1" selectUnlockedCells="1"/>
  <mergeCells count="10">
    <mergeCell ref="B1:H1"/>
    <mergeCell ref="A1:A2"/>
    <mergeCell ref="A64:A65"/>
    <mergeCell ref="T33:AA33"/>
    <mergeCell ref="L33:S33"/>
    <mergeCell ref="D33:K33"/>
    <mergeCell ref="W64:W65"/>
    <mergeCell ref="B64:H64"/>
    <mergeCell ref="I64:O64"/>
    <mergeCell ref="P64:V64"/>
  </mergeCells>
  <phoneticPr fontId="2" type="noConversion"/>
  <pageMargins left="0.7" right="0.7" top="0.75" bottom="0.75" header="0.3" footer="0.3"/>
  <ignoredErrors>
    <ignoredError sqref="L56:Y56 L59:Y5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D19A-F95B-7E4F-98DA-097C20FA270E}">
  <sheetPr>
    <tabColor theme="7" tint="0.79998168889431442"/>
  </sheetPr>
  <dimension ref="A1:M25"/>
  <sheetViews>
    <sheetView zoomScale="92" zoomScaleNormal="92" workbookViewId="0">
      <selection activeCell="Q19" sqref="Q19"/>
    </sheetView>
  </sheetViews>
  <sheetFormatPr baseColWidth="10" defaultColWidth="11" defaultRowHeight="16"/>
  <cols>
    <col min="1" max="1" width="11" style="8"/>
    <col min="2" max="2" width="17.6640625" style="8" hidden="1" customWidth="1"/>
    <col min="3" max="3" width="14.33203125" style="8" customWidth="1"/>
    <col min="4" max="11" width="11" style="8" customWidth="1"/>
    <col min="12" max="12" width="11.5" style="8" customWidth="1"/>
    <col min="13" max="13" width="9.1640625" style="8" customWidth="1"/>
    <col min="14" max="14" width="11" style="8" customWidth="1"/>
    <col min="15" max="16384" width="11" style="8"/>
  </cols>
  <sheetData>
    <row r="1" spans="1:13">
      <c r="C1" s="12" t="s">
        <v>284</v>
      </c>
    </row>
    <row r="2" spans="1:13">
      <c r="A2" s="6"/>
      <c r="B2" s="283" t="s">
        <v>285</v>
      </c>
      <c r="D2" s="6"/>
      <c r="E2" s="6"/>
      <c r="F2" s="6"/>
      <c r="G2" s="6"/>
      <c r="H2" s="6"/>
      <c r="I2" s="6"/>
      <c r="J2" s="6"/>
      <c r="K2" s="6"/>
      <c r="L2" s="6"/>
      <c r="M2" s="6"/>
    </row>
    <row r="3" spans="1:13" ht="32.25" customHeight="1">
      <c r="C3" s="505" t="s">
        <v>31</v>
      </c>
      <c r="D3" s="505" t="s">
        <v>286</v>
      </c>
      <c r="E3" s="505"/>
      <c r="F3" s="505"/>
      <c r="G3" s="505"/>
      <c r="H3" s="505"/>
      <c r="I3" s="505"/>
      <c r="J3" s="505" t="s">
        <v>287</v>
      </c>
      <c r="K3" s="505"/>
      <c r="L3" s="505"/>
      <c r="M3" s="505" t="s">
        <v>288</v>
      </c>
    </row>
    <row r="4" spans="1:13" ht="37.5" customHeight="1">
      <c r="B4" s="8" t="s">
        <v>36</v>
      </c>
      <c r="C4" s="505"/>
      <c r="D4" s="276" t="s">
        <v>134</v>
      </c>
      <c r="E4" s="276" t="s">
        <v>289</v>
      </c>
      <c r="F4" s="276" t="s">
        <v>135</v>
      </c>
      <c r="G4" s="276" t="s">
        <v>137</v>
      </c>
      <c r="H4" s="276" t="s">
        <v>138</v>
      </c>
      <c r="I4" s="276" t="s">
        <v>139</v>
      </c>
      <c r="J4" s="276" t="s">
        <v>290</v>
      </c>
      <c r="K4" s="276" t="s">
        <v>291</v>
      </c>
      <c r="L4" s="276" t="s">
        <v>292</v>
      </c>
      <c r="M4" s="505"/>
    </row>
    <row r="5" spans="1:13">
      <c r="B5" s="8" t="str">
        <f>_xlfn.XLOOKUP(C5,'REF_CS-GAR OEM'!B:B,'REF_CS-GAR OEM'!C:C)</f>
        <v>Tesla</v>
      </c>
      <c r="C5" s="7" t="s">
        <v>61</v>
      </c>
      <c r="D5" s="126">
        <v>1</v>
      </c>
      <c r="E5" s="126">
        <v>1</v>
      </c>
      <c r="F5" s="126">
        <v>1</v>
      </c>
      <c r="G5" s="126" t="s">
        <v>293</v>
      </c>
      <c r="H5" s="126" t="s">
        <v>293</v>
      </c>
      <c r="I5" s="126" t="s">
        <v>293</v>
      </c>
      <c r="J5" s="278">
        <v>1</v>
      </c>
      <c r="K5" s="278">
        <v>0</v>
      </c>
      <c r="L5" s="278">
        <v>1</v>
      </c>
      <c r="M5" s="279">
        <v>100</v>
      </c>
    </row>
    <row r="6" spans="1:13">
      <c r="B6" s="8" t="str">
        <f>_xlfn.XLOOKUP(C6,'REF_CS-GAR OEM'!B:B,'REF_CS-GAR OEM'!C:C)</f>
        <v>BYD</v>
      </c>
      <c r="C6" s="7" t="s">
        <v>64</v>
      </c>
      <c r="D6" s="126">
        <v>0.75885679982928378</v>
      </c>
      <c r="E6" s="126" t="s">
        <v>293</v>
      </c>
      <c r="F6" s="126" t="s">
        <v>293</v>
      </c>
      <c r="G6" s="126">
        <v>1</v>
      </c>
      <c r="H6" s="126">
        <v>1</v>
      </c>
      <c r="I6" s="126" t="s">
        <v>293</v>
      </c>
      <c r="J6" s="278">
        <v>0.51854854928604288</v>
      </c>
      <c r="K6" s="278">
        <v>0.48136941184904053</v>
      </c>
      <c r="L6" s="278">
        <v>0.75923325521056306</v>
      </c>
      <c r="M6" s="279">
        <v>75.923325521056313</v>
      </c>
    </row>
    <row r="7" spans="1:13">
      <c r="B7" s="8" t="str">
        <f>_xlfn.XLOOKUP(C7,'REF_CS-GAR OEM'!B:B,'REF_CS-GAR OEM'!C:C)</f>
        <v>SAIC</v>
      </c>
      <c r="C7" s="7" t="s">
        <v>68</v>
      </c>
      <c r="D7" s="126">
        <v>0.3977850389087606</v>
      </c>
      <c r="E7" s="126" t="s">
        <v>293</v>
      </c>
      <c r="F7" s="126">
        <v>0.47796575289275456</v>
      </c>
      <c r="G7" s="126">
        <v>0</v>
      </c>
      <c r="H7" s="126">
        <v>0.22612561948613405</v>
      </c>
      <c r="I7" s="126" t="s">
        <v>293</v>
      </c>
      <c r="J7" s="278">
        <v>0.39698151523435427</v>
      </c>
      <c r="K7" s="278">
        <v>1.948964490574594E-2</v>
      </c>
      <c r="L7" s="278">
        <v>0.40350167848934704</v>
      </c>
      <c r="M7" s="280">
        <v>40.350167848934703</v>
      </c>
    </row>
    <row r="8" spans="1:13">
      <c r="B8" s="8" t="str">
        <f>_xlfn.XLOOKUP(C8,'REF_CS-GAR OEM'!B:B,'REF_CS-GAR OEM'!C:C)</f>
        <v>Geely</v>
      </c>
      <c r="C8" s="7" t="s">
        <v>72</v>
      </c>
      <c r="D8" s="126">
        <v>0.27184131011118862</v>
      </c>
      <c r="E8" s="126">
        <v>0.2573563760722572</v>
      </c>
      <c r="F8" s="126">
        <v>0.41811195471946555</v>
      </c>
      <c r="G8" s="126">
        <v>0.16863486842105263</v>
      </c>
      <c r="H8" s="126">
        <v>0.35462555066079293</v>
      </c>
      <c r="I8" s="126">
        <v>0.12441088260497001</v>
      </c>
      <c r="J8" s="278">
        <v>0.24383730912061233</v>
      </c>
      <c r="K8" s="278">
        <v>0.12153221597827814</v>
      </c>
      <c r="L8" s="278">
        <v>0.29384781599567378</v>
      </c>
      <c r="M8" s="280">
        <v>29.384781599567379</v>
      </c>
    </row>
    <row r="9" spans="1:13">
      <c r="B9" s="8" t="str">
        <f>_xlfn.XLOOKUP(C9,'REF_CS-GAR OEM'!B:B,'REF_CS-GAR OEM'!C:C)</f>
        <v>Changan</v>
      </c>
      <c r="C9" s="7" t="s">
        <v>76</v>
      </c>
      <c r="D9" s="126">
        <v>0.20760160998617205</v>
      </c>
      <c r="E9" s="126" t="s">
        <v>293</v>
      </c>
      <c r="F9" s="126" t="s">
        <v>293</v>
      </c>
      <c r="G9" s="126" t="s">
        <v>293</v>
      </c>
      <c r="H9" s="126" t="s">
        <v>293</v>
      </c>
      <c r="I9" s="126" t="s">
        <v>293</v>
      </c>
      <c r="J9" s="278">
        <v>0.14486957283460872</v>
      </c>
      <c r="K9" s="278">
        <v>0.11291757653875273</v>
      </c>
      <c r="L9" s="278">
        <v>0.20760160998617205</v>
      </c>
      <c r="M9" s="280">
        <v>20.760160998617206</v>
      </c>
    </row>
    <row r="10" spans="1:13">
      <c r="B10" s="8" t="str">
        <f>_xlfn.XLOOKUP(C10,'REF_CS-GAR OEM'!B:B,'REF_CS-GAR OEM'!C:C)</f>
        <v>BMW</v>
      </c>
      <c r="C10" s="7" t="s">
        <v>65</v>
      </c>
      <c r="D10" s="126">
        <v>0.12698237247557634</v>
      </c>
      <c r="E10" s="126">
        <v>0.14306202330908449</v>
      </c>
      <c r="F10" s="126">
        <v>0.23618529619528966</v>
      </c>
      <c r="G10" s="126">
        <v>8.971949927159209E-2</v>
      </c>
      <c r="H10" s="126">
        <v>0.1173019226706106</v>
      </c>
      <c r="I10" s="126">
        <v>0.11838349658280393</v>
      </c>
      <c r="J10" s="278">
        <v>0.1508315568005327</v>
      </c>
      <c r="K10" s="278">
        <v>7.1310723866665038E-2</v>
      </c>
      <c r="L10" s="278">
        <v>0.17</v>
      </c>
      <c r="M10" s="280">
        <v>17</v>
      </c>
    </row>
    <row r="11" spans="1:13">
      <c r="B11" s="8" t="str">
        <f>_xlfn.XLOOKUP(C11,'REF_CS-GAR OEM'!B:B,'REF_CS-GAR OEM'!C:C)</f>
        <v>Chery</v>
      </c>
      <c r="C11" s="7" t="s">
        <v>142</v>
      </c>
      <c r="D11" s="126">
        <v>0.17456059335698162</v>
      </c>
      <c r="E11" s="126" t="s">
        <v>293</v>
      </c>
      <c r="F11" s="126" t="s">
        <v>293</v>
      </c>
      <c r="G11" s="126" t="s">
        <v>293</v>
      </c>
      <c r="H11" s="126" t="s">
        <v>293</v>
      </c>
      <c r="I11" s="126" t="s">
        <v>293</v>
      </c>
      <c r="J11" s="278">
        <v>0.16891970332150918</v>
      </c>
      <c r="K11" s="278">
        <v>1.3118348919703322E-2</v>
      </c>
      <c r="L11" s="278">
        <v>0.17431697249919381</v>
      </c>
      <c r="M11" s="280">
        <v>17.431697249919381</v>
      </c>
    </row>
    <row r="12" spans="1:13">
      <c r="B12" s="8" t="str">
        <f>_xlfn.XLOOKUP(C12,'REF_CS-GAR OEM'!B:B,'REF_CS-GAR OEM'!C:C)</f>
        <v>Great Wall</v>
      </c>
      <c r="C12" s="7" t="s">
        <v>294</v>
      </c>
      <c r="D12" s="126">
        <v>0.17081420002243311</v>
      </c>
      <c r="E12" s="126" t="s">
        <v>293</v>
      </c>
      <c r="F12" s="126">
        <v>0.50672817601135556</v>
      </c>
      <c r="G12" s="126" t="s">
        <v>293</v>
      </c>
      <c r="H12" s="126" t="s">
        <v>293</v>
      </c>
      <c r="I12" s="126" t="s">
        <v>293</v>
      </c>
      <c r="J12" s="278">
        <v>9.5695244177885108E-2</v>
      </c>
      <c r="K12" s="278">
        <v>0.13442618224719274</v>
      </c>
      <c r="L12" s="278">
        <v>0.17018979831526518</v>
      </c>
      <c r="M12" s="280">
        <v>17.018979831526519</v>
      </c>
    </row>
    <row r="13" spans="1:13">
      <c r="B13" s="8" t="str">
        <f>_xlfn.XLOOKUP(C13,'REF_CS-GAR OEM'!B:B,'REF_CS-GAR OEM'!C:C)</f>
        <v>Mercedes-Benz</v>
      </c>
      <c r="C13" s="7" t="s">
        <v>71</v>
      </c>
      <c r="D13" s="126">
        <v>9.7115500753359368E-2</v>
      </c>
      <c r="E13" s="126">
        <v>0.12282158148209218</v>
      </c>
      <c r="F13" s="126">
        <v>0.20491961949245793</v>
      </c>
      <c r="G13" s="126">
        <v>0.10131326735765454</v>
      </c>
      <c r="H13" s="126">
        <v>4.0900735294117647E-2</v>
      </c>
      <c r="I13" s="126">
        <v>0.13365904142274143</v>
      </c>
      <c r="J13" s="278">
        <v>0.12537677784997472</v>
      </c>
      <c r="K13" s="278">
        <v>6.6631921882896544E-2</v>
      </c>
      <c r="L13" s="278">
        <v>0.15163581857672731</v>
      </c>
      <c r="M13" s="280">
        <v>15.163581857672732</v>
      </c>
    </row>
    <row r="14" spans="1:13" ht="17">
      <c r="B14" s="8" t="str">
        <f>_xlfn.XLOOKUP(C14,'REF_CS-GAR OEM'!B:B,'REF_CS-GAR OEM'!C:C)</f>
        <v>VW</v>
      </c>
      <c r="C14" s="88" t="s">
        <v>69</v>
      </c>
      <c r="D14" s="126">
        <v>6.3279489931675717E-2</v>
      </c>
      <c r="E14" s="126">
        <v>0.11725047213467407</v>
      </c>
      <c r="F14" s="126">
        <v>0.14348008409525317</v>
      </c>
      <c r="G14" s="126">
        <v>0.13534189596535218</v>
      </c>
      <c r="H14" s="126">
        <v>8.4086817165581786E-3</v>
      </c>
      <c r="I14" s="126">
        <v>0.10423423644715187</v>
      </c>
      <c r="J14" s="278">
        <v>9.7362917499771579E-2</v>
      </c>
      <c r="K14" s="278">
        <v>3.2367453981798827E-2</v>
      </c>
      <c r="L14" s="278">
        <v>0.10633433418972268</v>
      </c>
      <c r="M14" s="280">
        <v>10.633433418972269</v>
      </c>
    </row>
    <row r="15" spans="1:13">
      <c r="B15" s="8" t="str">
        <f>_xlfn.XLOOKUP(C15,'REF_CS-GAR OEM'!B:B,'REF_CS-GAR OEM'!C:C)</f>
        <v>Renault</v>
      </c>
      <c r="C15" s="7" t="s">
        <v>82</v>
      </c>
      <c r="D15" s="126">
        <v>0.99865380300650664</v>
      </c>
      <c r="E15" s="126" t="s">
        <v>293</v>
      </c>
      <c r="F15" s="126">
        <v>9.9539243970832733E-2</v>
      </c>
      <c r="G15" s="126">
        <v>0</v>
      </c>
      <c r="H15" s="126">
        <v>0</v>
      </c>
      <c r="I15" s="126">
        <v>0</v>
      </c>
      <c r="J15" s="278">
        <v>9.5734213904160523E-2</v>
      </c>
      <c r="K15" s="278">
        <v>6.2990205032405315E-3</v>
      </c>
      <c r="L15" s="278">
        <v>9.724597882493824E-2</v>
      </c>
      <c r="M15" s="280">
        <v>9.7245978824938248</v>
      </c>
    </row>
    <row r="16" spans="1:13" ht="17">
      <c r="B16" s="8" t="str">
        <f>_xlfn.XLOOKUP(C16,'REF_CS-GAR OEM'!B:B,'REF_CS-GAR OEM'!C:C)</f>
        <v>Stellantis</v>
      </c>
      <c r="C16" s="88" t="s">
        <v>74</v>
      </c>
      <c r="D16" s="126">
        <v>5.3879127150854272E-2</v>
      </c>
      <c r="E16" s="126">
        <v>3.2738442533068103E-2</v>
      </c>
      <c r="F16" s="126">
        <v>0.12321772125761364</v>
      </c>
      <c r="G16" s="126">
        <v>6.4224603130083588E-2</v>
      </c>
      <c r="H16" s="126">
        <v>0.14642923621021281</v>
      </c>
      <c r="I16" s="126">
        <v>9.8768421052631589E-2</v>
      </c>
      <c r="J16" s="278">
        <v>7.0095312920914921E-2</v>
      </c>
      <c r="K16" s="278">
        <v>6.5420303409815278E-2</v>
      </c>
      <c r="L16" s="278">
        <v>8.9539666340987034E-2</v>
      </c>
      <c r="M16" s="280">
        <v>8.9539666340987036</v>
      </c>
    </row>
    <row r="17" spans="2:13">
      <c r="B17" s="8" t="str">
        <f>_xlfn.XLOOKUP(C17,'REF_CS-GAR OEM'!B:B,'REF_CS-GAR OEM'!C:C)</f>
        <v>Tata Motors</v>
      </c>
      <c r="C17" s="7" t="s">
        <v>295</v>
      </c>
      <c r="D17" s="444">
        <v>4.5599611799068693E-3</v>
      </c>
      <c r="E17" s="126">
        <v>7.5763099087402157E-3</v>
      </c>
      <c r="F17" s="126">
        <v>9.795586068295653E-2</v>
      </c>
      <c r="G17" s="126">
        <v>4.9129177678389913E-3</v>
      </c>
      <c r="H17" s="126">
        <v>9.5951091995538459E-2</v>
      </c>
      <c r="I17" s="126">
        <v>0</v>
      </c>
      <c r="J17" s="278">
        <v>6.8839464979898873E-2</v>
      </c>
      <c r="K17" s="278">
        <v>4.4168241621257168E-2</v>
      </c>
      <c r="L17" s="278">
        <v>8.1493666204389054E-2</v>
      </c>
      <c r="M17" s="280">
        <v>8.1493666204389061</v>
      </c>
    </row>
    <row r="18" spans="2:13">
      <c r="B18" s="8" t="str">
        <f>_xlfn.XLOOKUP(C18,'REF_CS-GAR OEM'!B:B,'REF_CS-GAR OEM'!C:C)</f>
        <v>Hyundai Kia</v>
      </c>
      <c r="C18" s="7" t="s">
        <v>191</v>
      </c>
      <c r="D18" s="444">
        <v>2.763026147352945E-3</v>
      </c>
      <c r="E18" s="126">
        <v>6.2932795505381417E-2</v>
      </c>
      <c r="F18" s="126">
        <v>0.16307936636107839</v>
      </c>
      <c r="G18" s="126">
        <v>0.99188640973630826</v>
      </c>
      <c r="H18" s="444">
        <v>2.7849368401525591E-3</v>
      </c>
      <c r="I18" s="126">
        <v>6.4820076246758479E-2</v>
      </c>
      <c r="J18" s="278">
        <v>6.5173862077634467E-2</v>
      </c>
      <c r="K18" s="278">
        <v>2.1914645716440567E-2</v>
      </c>
      <c r="L18" s="278">
        <v>7.1711724078157332E-2</v>
      </c>
      <c r="M18" s="280">
        <v>7.1711724078157335</v>
      </c>
    </row>
    <row r="19" spans="2:13">
      <c r="B19" s="8" t="str">
        <f>_xlfn.XLOOKUP(C19,'REF_CS-GAR OEM'!B:B,'REF_CS-GAR OEM'!C:C)</f>
        <v>Nissan</v>
      </c>
      <c r="C19" s="7" t="s">
        <v>91</v>
      </c>
      <c r="D19" s="444">
        <v>4.2428556186779182E-3</v>
      </c>
      <c r="E19" s="126">
        <v>2.293735174611369E-2</v>
      </c>
      <c r="F19" s="126">
        <v>0.1017560703666997</v>
      </c>
      <c r="G19" s="126">
        <v>0.11493095753426956</v>
      </c>
      <c r="H19" s="126">
        <v>0</v>
      </c>
      <c r="I19" s="126" t="s">
        <v>293</v>
      </c>
      <c r="J19" s="278">
        <v>4.6077387497425154E-2</v>
      </c>
      <c r="K19" s="278">
        <v>0</v>
      </c>
      <c r="L19" s="278">
        <v>4.6077387497425154E-2</v>
      </c>
      <c r="M19" s="280">
        <v>4.6077387497425155</v>
      </c>
    </row>
    <row r="20" spans="2:13" ht="17">
      <c r="B20" s="8" t="str">
        <f>_xlfn.XLOOKUP(C20,'REF_CS-GAR OEM'!B:B,'REF_CS-GAR OEM'!C:C)</f>
        <v>GM</v>
      </c>
      <c r="C20" s="96" t="s">
        <v>70</v>
      </c>
      <c r="D20" s="126">
        <v>7.149840120110483E-2</v>
      </c>
      <c r="E20" s="126">
        <v>2.9438692893017007E-2</v>
      </c>
      <c r="F20" s="126">
        <v>0</v>
      </c>
      <c r="G20" s="126">
        <v>0</v>
      </c>
      <c r="H20" s="126" t="s">
        <v>293</v>
      </c>
      <c r="I20" s="126">
        <v>4.721872640322175E-2</v>
      </c>
      <c r="J20" s="278">
        <v>3.9394631619445439E-2</v>
      </c>
      <c r="K20" s="278">
        <v>2.1254706092500479E-3</v>
      </c>
      <c r="L20" s="278">
        <v>4.0117291626590453E-2</v>
      </c>
      <c r="M20" s="280">
        <v>4.0117291626590452</v>
      </c>
    </row>
    <row r="21" spans="2:13">
      <c r="B21" s="8" t="str">
        <f>_xlfn.XLOOKUP(C21,'REF_CS-GAR OEM'!B:B,'REF_CS-GAR OEM'!C:C)</f>
        <v>Ford</v>
      </c>
      <c r="C21" s="7" t="s">
        <v>80</v>
      </c>
      <c r="D21" s="126">
        <v>9.9636545933074316E-3</v>
      </c>
      <c r="E21" s="126">
        <v>3.8456716770334298E-2</v>
      </c>
      <c r="F21" s="126">
        <v>4.8109217200963589E-2</v>
      </c>
      <c r="G21" s="126">
        <v>0</v>
      </c>
      <c r="H21" s="126" t="s">
        <v>293</v>
      </c>
      <c r="I21" s="444">
        <v>6.2451057165231012E-4</v>
      </c>
      <c r="J21" s="278">
        <v>3.3745536558120785E-2</v>
      </c>
      <c r="K21" s="278">
        <v>2.1055821158992717E-2</v>
      </c>
      <c r="L21" s="278">
        <v>3.9456928047497557E-2</v>
      </c>
      <c r="M21" s="280">
        <v>3.9456928047497555</v>
      </c>
    </row>
    <row r="22" spans="2:13" ht="17">
      <c r="B22" s="8" t="str">
        <f>_xlfn.XLOOKUP(C22,'REF_CS-GAR OEM'!B:B,'REF_CS-GAR OEM'!C:C)</f>
        <v>Mazda</v>
      </c>
      <c r="C22" s="88" t="s">
        <v>97</v>
      </c>
      <c r="D22" s="444">
        <v>2.1965317919075147E-3</v>
      </c>
      <c r="E22" s="126">
        <v>6.7502215470312691E-3</v>
      </c>
      <c r="F22" s="126">
        <v>7.3250126237678112E-2</v>
      </c>
      <c r="G22" s="444">
        <v>3.7702405769339123E-3</v>
      </c>
      <c r="H22" s="126" t="s">
        <v>293</v>
      </c>
      <c r="I22" s="126" t="s">
        <v>293</v>
      </c>
      <c r="J22" s="278">
        <v>1.0158855646416484E-2</v>
      </c>
      <c r="K22" s="278">
        <v>4.0025199496010078E-2</v>
      </c>
      <c r="L22" s="278">
        <v>2.1899567490179607E-2</v>
      </c>
      <c r="M22" s="280">
        <v>2.1899567490179606</v>
      </c>
    </row>
    <row r="23" spans="2:13">
      <c r="B23" s="8" t="str">
        <f>_xlfn.XLOOKUP(C23,'REF_CS-GAR OEM'!B:B,'REF_CS-GAR OEM'!C:C)</f>
        <v>Toyota</v>
      </c>
      <c r="C23" s="7" t="s">
        <v>77</v>
      </c>
      <c r="D23" s="126">
        <v>2.3620906093799854E-2</v>
      </c>
      <c r="E23" s="126">
        <v>1.4508064792301635E-2</v>
      </c>
      <c r="F23" s="126">
        <v>4.0238032038838883E-2</v>
      </c>
      <c r="G23" s="126">
        <v>5.8763039178648408E-3</v>
      </c>
      <c r="H23" s="126">
        <v>0</v>
      </c>
      <c r="I23" s="126">
        <v>3.4743380486035549E-2</v>
      </c>
      <c r="J23" s="278">
        <v>1.2322053687878273E-2</v>
      </c>
      <c r="K23" s="278">
        <v>1.3586608750815641E-2</v>
      </c>
      <c r="L23" s="278">
        <v>1.7406583867304759E-2</v>
      </c>
      <c r="M23" s="280">
        <v>1.7406583867304759</v>
      </c>
    </row>
    <row r="24" spans="2:13">
      <c r="B24" s="8" t="str">
        <f>_xlfn.XLOOKUP(C24,'REF_CS-GAR OEM'!B:B,'REF_CS-GAR OEM'!C:C)</f>
        <v>Honda</v>
      </c>
      <c r="C24" s="281" t="s">
        <v>89</v>
      </c>
      <c r="D24" s="126">
        <v>1.5311791740115842E-2</v>
      </c>
      <c r="E24" s="126">
        <v>0</v>
      </c>
      <c r="F24" s="126">
        <v>4.3018044619422574E-2</v>
      </c>
      <c r="G24" s="444">
        <v>4.81250578426176E-4</v>
      </c>
      <c r="H24" s="126">
        <v>0</v>
      </c>
      <c r="I24" s="126">
        <v>0</v>
      </c>
      <c r="J24" s="445">
        <v>3.6854836901761483E-3</v>
      </c>
      <c r="K24" s="278">
        <v>6.5838750798838802E-3</v>
      </c>
      <c r="L24" s="278">
        <v>6.7008984767629644E-3</v>
      </c>
      <c r="M24" s="280">
        <v>0.67008984767629642</v>
      </c>
    </row>
    <row r="25" spans="2:13">
      <c r="B25" s="8" t="str">
        <f>_xlfn.XLOOKUP(C25,'REF_CS-GAR OEM'!B:B,'REF_CS-GAR OEM'!C:C)</f>
        <v>Suzuki</v>
      </c>
      <c r="C25" s="281" t="s">
        <v>99</v>
      </c>
      <c r="D25" s="126" t="s">
        <v>293</v>
      </c>
      <c r="E25" s="126" t="s">
        <v>293</v>
      </c>
      <c r="F25" s="126">
        <v>0</v>
      </c>
      <c r="G25" s="126">
        <v>0</v>
      </c>
      <c r="H25" s="126">
        <v>0</v>
      </c>
      <c r="I25" s="126" t="s">
        <v>293</v>
      </c>
      <c r="J25" s="278">
        <v>0</v>
      </c>
      <c r="K25" s="445">
        <v>1.1123539120091825E-3</v>
      </c>
      <c r="L25" s="446">
        <v>3.3601875969840791E-4</v>
      </c>
      <c r="M25" s="280">
        <v>3.3601875969840794E-2</v>
      </c>
    </row>
  </sheetData>
  <sheetProtection algorithmName="SHA-512" hashValue="/S9QmK6Ljg9PlnJQDqk0fCbf9VDus4HJ0bPjvJK4Rw2/18IEWaEzNqblk7V8NMkP536AGjae5DZ0thuDnc9gZA==" saltValue="yvM4rM+2l/Jz4B7xzxmyNg==" spinCount="100000" sheet="1" objects="1" scenarios="1" selectLockedCells="1" selectUnlockedCells="1"/>
  <mergeCells count="4">
    <mergeCell ref="C3:C4"/>
    <mergeCell ref="D3:I3"/>
    <mergeCell ref="J3:L3"/>
    <mergeCell ref="M3:M4"/>
  </mergeCells>
  <phoneticPr fontId="2" type="noConversion"/>
  <conditionalFormatting sqref="D5:I25">
    <cfRule type="colorScale" priority="1">
      <colorScale>
        <cfvo type="min"/>
        <cfvo type="max"/>
        <color theme="0"/>
        <color theme="5" tint="0.79998168889431442"/>
      </colorScale>
    </cfRule>
    <cfRule type="expression" dxfId="5" priority="2">
      <formula>(#REF!&lt;5000)</formula>
    </cfRule>
    <cfRule type="cellIs" dxfId="4" priority="3" operator="equal">
      <formula>0</formula>
    </cfRule>
    <cfRule type="cellIs" dxfId="3" priority="4" operator="equal">
      <formula>"."</formula>
    </cfRule>
  </conditionalFormatting>
  <conditionalFormatting sqref="J5:J25">
    <cfRule type="colorScale" priority="8">
      <colorScale>
        <cfvo type="min"/>
        <cfvo type="max"/>
        <color theme="0"/>
        <color theme="9"/>
      </colorScale>
    </cfRule>
  </conditionalFormatting>
  <conditionalFormatting sqref="K5:K25">
    <cfRule type="colorScale" priority="7">
      <colorScale>
        <cfvo type="min"/>
        <cfvo type="max"/>
        <color theme="0"/>
        <color theme="9"/>
      </colorScale>
    </cfRule>
  </conditionalFormatting>
  <conditionalFormatting sqref="L5:L25">
    <cfRule type="colorScale" priority="6">
      <colorScale>
        <cfvo type="min"/>
        <cfvo type="max"/>
        <color theme="0"/>
        <color theme="9"/>
      </colorScale>
    </cfRule>
  </conditionalFormatting>
  <conditionalFormatting sqref="M5:M25">
    <cfRule type="colorScale" priority="5">
      <colorScale>
        <cfvo type="min"/>
        <cfvo type="max"/>
        <color theme="0"/>
        <color theme="5"/>
      </colorScale>
    </cfRule>
  </conditionalFormatting>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F2E58-34CB-114B-B29B-20C872A8FAB4}">
  <sheetPr>
    <tabColor theme="7" tint="0.79998168889431442"/>
  </sheetPr>
  <dimension ref="B1:S158"/>
  <sheetViews>
    <sheetView zoomScale="70" zoomScaleNormal="70" workbookViewId="0">
      <selection activeCell="I35" sqref="I35"/>
    </sheetView>
  </sheetViews>
  <sheetFormatPr baseColWidth="10" defaultColWidth="8.83203125" defaultRowHeight="15"/>
  <cols>
    <col min="1" max="1" width="8.83203125" style="5"/>
    <col min="2" max="2" width="14.1640625" style="5" customWidth="1"/>
    <col min="3" max="3" width="10.33203125" style="5" customWidth="1"/>
    <col min="4" max="7" width="9.33203125" style="5" bestFit="1" customWidth="1"/>
    <col min="8" max="8" width="11.6640625" style="5" customWidth="1"/>
    <col min="9" max="9" width="10.5" style="5" bestFit="1" customWidth="1"/>
    <col min="10" max="13" width="9.33203125" style="5" bestFit="1" customWidth="1"/>
    <col min="14" max="14" width="13.1640625" style="5" customWidth="1"/>
    <col min="15" max="15" width="14.6640625" style="5" customWidth="1"/>
    <col min="16" max="16" width="15.33203125" style="5" customWidth="1"/>
    <col min="17" max="17" width="0" style="5" hidden="1" customWidth="1"/>
    <col min="18" max="18" width="16" style="5" customWidth="1"/>
    <col min="19" max="19" width="16.1640625" style="5" customWidth="1"/>
    <col min="20" max="16384" width="8.83203125" style="5"/>
  </cols>
  <sheetData>
    <row r="1" spans="2:19" ht="16">
      <c r="R1" s="137"/>
      <c r="S1" s="137"/>
    </row>
    <row r="2" spans="2:19" ht="16">
      <c r="B2" s="506" t="s">
        <v>296</v>
      </c>
      <c r="C2" s="506"/>
      <c r="D2" s="506"/>
      <c r="E2" s="506"/>
      <c r="F2" s="506"/>
      <c r="G2" s="506"/>
      <c r="H2" s="506"/>
      <c r="I2" s="138"/>
      <c r="J2" s="138"/>
      <c r="K2" s="138"/>
      <c r="L2" s="138"/>
      <c r="M2" s="138"/>
      <c r="N2" s="138"/>
      <c r="O2" s="138"/>
      <c r="R2" s="137"/>
      <c r="S2" s="137"/>
    </row>
    <row r="3" spans="2:19" ht="16">
      <c r="B3" s="509" t="s">
        <v>297</v>
      </c>
      <c r="C3" s="509"/>
      <c r="D3" s="509"/>
      <c r="E3" s="509"/>
      <c r="F3" s="509"/>
      <c r="G3" s="509"/>
      <c r="H3" s="509"/>
      <c r="I3" s="509" t="s">
        <v>298</v>
      </c>
      <c r="J3" s="509"/>
      <c r="K3" s="509"/>
      <c r="L3" s="509"/>
      <c r="M3" s="509"/>
      <c r="N3" s="509"/>
      <c r="O3" s="507" t="s">
        <v>299</v>
      </c>
      <c r="R3" s="441" t="s">
        <v>300</v>
      </c>
      <c r="S3" s="441" t="s">
        <v>301</v>
      </c>
    </row>
    <row r="4" spans="2:19" ht="21" customHeight="1">
      <c r="B4" s="443" t="s">
        <v>36</v>
      </c>
      <c r="C4" s="443" t="s">
        <v>134</v>
      </c>
      <c r="D4" s="443" t="s">
        <v>135</v>
      </c>
      <c r="E4" s="443" t="s">
        <v>138</v>
      </c>
      <c r="F4" s="443" t="s">
        <v>137</v>
      </c>
      <c r="G4" s="443" t="s">
        <v>139</v>
      </c>
      <c r="H4" s="443" t="s">
        <v>289</v>
      </c>
      <c r="I4" s="443" t="s">
        <v>134</v>
      </c>
      <c r="J4" s="443" t="s">
        <v>135</v>
      </c>
      <c r="K4" s="443" t="s">
        <v>138</v>
      </c>
      <c r="L4" s="443" t="s">
        <v>137</v>
      </c>
      <c r="M4" s="443" t="s">
        <v>139</v>
      </c>
      <c r="N4" s="443" t="s">
        <v>289</v>
      </c>
      <c r="O4" s="508"/>
      <c r="Q4" s="315" t="s">
        <v>302</v>
      </c>
      <c r="R4" s="441" t="s">
        <v>36</v>
      </c>
      <c r="S4" s="441" t="s">
        <v>298</v>
      </c>
    </row>
    <row r="5" spans="2:19" ht="16">
      <c r="B5" s="138" t="s">
        <v>68</v>
      </c>
      <c r="C5" s="453">
        <v>0.875</v>
      </c>
      <c r="D5" s="453">
        <v>0.5</v>
      </c>
      <c r="E5" s="453">
        <v>0.25</v>
      </c>
      <c r="F5" s="453">
        <v>0</v>
      </c>
      <c r="G5" s="453">
        <v>0</v>
      </c>
      <c r="H5" s="453">
        <v>0</v>
      </c>
      <c r="I5" s="453">
        <v>0.83199999999999996</v>
      </c>
      <c r="J5" s="453">
        <v>0.13500000000000001</v>
      </c>
      <c r="K5" s="453">
        <v>3.3000000000000002E-2</v>
      </c>
      <c r="L5" s="453">
        <v>0</v>
      </c>
      <c r="M5" s="453">
        <v>0</v>
      </c>
      <c r="N5" s="453">
        <v>0</v>
      </c>
      <c r="O5" s="453">
        <f t="shared" ref="O5:O24" si="0">SUMPRODUCT(C5:H5,I5:N5)</f>
        <v>0.80374999999999996</v>
      </c>
      <c r="Q5" s="137" t="s">
        <v>68</v>
      </c>
      <c r="R5" s="454" t="s">
        <v>68</v>
      </c>
      <c r="S5" s="442">
        <f t="shared" ref="S5:S24" si="1">O5</f>
        <v>0.80374999999999996</v>
      </c>
    </row>
    <row r="6" spans="2:19" ht="16">
      <c r="B6" s="138" t="s">
        <v>76</v>
      </c>
      <c r="C6" s="453">
        <v>0.75</v>
      </c>
      <c r="D6" s="453">
        <v>0</v>
      </c>
      <c r="E6" s="453">
        <v>0</v>
      </c>
      <c r="F6" s="453">
        <v>0</v>
      </c>
      <c r="G6" s="453">
        <v>0</v>
      </c>
      <c r="H6" s="453">
        <v>0</v>
      </c>
      <c r="I6" s="453">
        <v>1</v>
      </c>
      <c r="J6" s="453">
        <v>0</v>
      </c>
      <c r="K6" s="453">
        <v>0</v>
      </c>
      <c r="L6" s="453">
        <v>0</v>
      </c>
      <c r="M6" s="453">
        <v>0</v>
      </c>
      <c r="N6" s="453">
        <v>0</v>
      </c>
      <c r="O6" s="453">
        <f t="shared" si="0"/>
        <v>0.75</v>
      </c>
      <c r="Q6" s="137" t="s">
        <v>76</v>
      </c>
      <c r="R6" s="454" t="s">
        <v>76</v>
      </c>
      <c r="S6" s="442">
        <f t="shared" si="1"/>
        <v>0.75</v>
      </c>
    </row>
    <row r="7" spans="2:19" ht="16">
      <c r="B7" s="138" t="s">
        <v>72</v>
      </c>
      <c r="C7" s="453">
        <v>0.75</v>
      </c>
      <c r="D7" s="453">
        <v>0.25</v>
      </c>
      <c r="E7" s="453">
        <v>0</v>
      </c>
      <c r="F7" s="453">
        <v>0.125</v>
      </c>
      <c r="G7" s="453">
        <v>0.25</v>
      </c>
      <c r="H7" s="453">
        <v>0.25</v>
      </c>
      <c r="I7" s="453">
        <v>0.76200000000000001</v>
      </c>
      <c r="J7" s="453">
        <v>0.155</v>
      </c>
      <c r="K7" s="453">
        <v>1E-3</v>
      </c>
      <c r="L7" s="453">
        <v>6.0000000000000001E-3</v>
      </c>
      <c r="M7" s="453">
        <v>8.9999999999999993E-3</v>
      </c>
      <c r="N7" s="453">
        <v>6.7000000000000004E-2</v>
      </c>
      <c r="O7" s="453">
        <f t="shared" si="0"/>
        <v>0.63</v>
      </c>
      <c r="Q7" s="137" t="s">
        <v>72</v>
      </c>
      <c r="R7" s="454" t="s">
        <v>72</v>
      </c>
      <c r="S7" s="442">
        <f t="shared" si="1"/>
        <v>0.63</v>
      </c>
    </row>
    <row r="8" spans="2:19" ht="16">
      <c r="B8" s="138" t="s">
        <v>142</v>
      </c>
      <c r="C8" s="453">
        <v>0.625</v>
      </c>
      <c r="D8" s="453">
        <v>0</v>
      </c>
      <c r="E8" s="453">
        <v>0</v>
      </c>
      <c r="F8" s="453">
        <v>0</v>
      </c>
      <c r="G8" s="453">
        <v>0</v>
      </c>
      <c r="H8" s="453">
        <v>0</v>
      </c>
      <c r="I8" s="453">
        <v>0.999</v>
      </c>
      <c r="J8" s="453">
        <v>1E-3</v>
      </c>
      <c r="K8" s="453">
        <v>0</v>
      </c>
      <c r="L8" s="453">
        <v>0</v>
      </c>
      <c r="M8" s="453">
        <v>0</v>
      </c>
      <c r="N8" s="453">
        <v>0</v>
      </c>
      <c r="O8" s="453">
        <f t="shared" si="0"/>
        <v>0.62437500000000001</v>
      </c>
      <c r="Q8" s="137" t="s">
        <v>142</v>
      </c>
      <c r="R8" s="454" t="s">
        <v>142</v>
      </c>
      <c r="S8" s="442">
        <f t="shared" si="1"/>
        <v>0.62437500000000001</v>
      </c>
    </row>
    <row r="9" spans="2:19" ht="16">
      <c r="B9" s="138" t="s">
        <v>64</v>
      </c>
      <c r="C9" s="453">
        <v>0.625</v>
      </c>
      <c r="D9" s="453">
        <v>0.25</v>
      </c>
      <c r="E9" s="453">
        <v>0.125</v>
      </c>
      <c r="F9" s="453">
        <v>0.125</v>
      </c>
      <c r="G9" s="453">
        <v>0</v>
      </c>
      <c r="H9" s="453">
        <v>0</v>
      </c>
      <c r="I9" s="453">
        <v>0.99199999999999999</v>
      </c>
      <c r="J9" s="453">
        <v>6.0000000000000001E-3</v>
      </c>
      <c r="K9" s="453">
        <v>1E-3</v>
      </c>
      <c r="L9" s="453">
        <v>1E-3</v>
      </c>
      <c r="M9" s="453">
        <v>0</v>
      </c>
      <c r="N9" s="453">
        <v>0</v>
      </c>
      <c r="O9" s="453">
        <f t="shared" si="0"/>
        <v>0.62175000000000002</v>
      </c>
      <c r="Q9" s="137" t="s">
        <v>64</v>
      </c>
      <c r="R9" s="454" t="s">
        <v>64</v>
      </c>
      <c r="S9" s="442">
        <f t="shared" si="1"/>
        <v>0.62175000000000002</v>
      </c>
    </row>
    <row r="10" spans="2:19" ht="16">
      <c r="B10" s="138" t="s">
        <v>82</v>
      </c>
      <c r="C10" s="453">
        <v>0.25</v>
      </c>
      <c r="D10" s="453">
        <v>0.625</v>
      </c>
      <c r="E10" s="453">
        <v>0</v>
      </c>
      <c r="F10" s="453">
        <v>0</v>
      </c>
      <c r="G10" s="453">
        <v>0</v>
      </c>
      <c r="H10" s="453">
        <v>0</v>
      </c>
      <c r="I10" s="453">
        <v>3.0000000000000001E-3</v>
      </c>
      <c r="J10" s="453">
        <v>0.94899999999999995</v>
      </c>
      <c r="K10" s="453">
        <v>0.03</v>
      </c>
      <c r="L10" s="453">
        <v>4.0000000000000001E-3</v>
      </c>
      <c r="M10" s="453">
        <v>1.4E-2</v>
      </c>
      <c r="N10" s="453">
        <v>0</v>
      </c>
      <c r="O10" s="453">
        <f t="shared" si="0"/>
        <v>0.59387500000000004</v>
      </c>
      <c r="Q10" s="137" t="s">
        <v>82</v>
      </c>
      <c r="R10" s="454" t="s">
        <v>82</v>
      </c>
      <c r="S10" s="442">
        <f t="shared" si="1"/>
        <v>0.59387500000000004</v>
      </c>
    </row>
    <row r="11" spans="2:19" ht="16">
      <c r="B11" s="138" t="s">
        <v>74</v>
      </c>
      <c r="C11" s="453">
        <v>0.25</v>
      </c>
      <c r="D11" s="453">
        <v>0.875</v>
      </c>
      <c r="E11" s="453">
        <v>0.125</v>
      </c>
      <c r="F11" s="453">
        <v>0</v>
      </c>
      <c r="G11" s="453">
        <v>0</v>
      </c>
      <c r="H11" s="453">
        <v>0</v>
      </c>
      <c r="I11" s="453">
        <v>1.9E-2</v>
      </c>
      <c r="J11" s="453">
        <v>0.61499999999999999</v>
      </c>
      <c r="K11" s="453">
        <v>4.0000000000000001E-3</v>
      </c>
      <c r="L11" s="453">
        <v>8.0000000000000002E-3</v>
      </c>
      <c r="M11" s="453">
        <v>2E-3</v>
      </c>
      <c r="N11" s="453">
        <v>0.35199999999999998</v>
      </c>
      <c r="O11" s="453">
        <f t="shared" si="0"/>
        <v>0.54337499999999994</v>
      </c>
      <c r="Q11" s="137" t="s">
        <v>74</v>
      </c>
      <c r="R11" s="454" t="s">
        <v>74</v>
      </c>
      <c r="S11" s="442">
        <f t="shared" si="1"/>
        <v>0.54337499999999994</v>
      </c>
    </row>
    <row r="12" spans="2:19" ht="16">
      <c r="B12" s="138" t="s">
        <v>69</v>
      </c>
      <c r="C12" s="453">
        <v>0.375</v>
      </c>
      <c r="D12" s="453">
        <v>0.625</v>
      </c>
      <c r="E12" s="453">
        <v>0</v>
      </c>
      <c r="F12" s="453">
        <v>0.125</v>
      </c>
      <c r="G12" s="453">
        <v>0.25</v>
      </c>
      <c r="H12" s="453">
        <v>0.25</v>
      </c>
      <c r="I12" s="453">
        <v>0.41899999999999998</v>
      </c>
      <c r="J12" s="453">
        <v>0.46800000000000003</v>
      </c>
      <c r="K12" s="453">
        <v>1.2999999999999999E-2</v>
      </c>
      <c r="L12" s="453">
        <v>8.9999999999999993E-3</v>
      </c>
      <c r="M12" s="453">
        <v>5.0000000000000001E-3</v>
      </c>
      <c r="N12" s="453">
        <v>8.5000000000000006E-2</v>
      </c>
      <c r="O12" s="453">
        <f t="shared" si="0"/>
        <v>0.47325</v>
      </c>
      <c r="Q12" s="137" t="s">
        <v>69</v>
      </c>
      <c r="R12" s="454" t="s">
        <v>69</v>
      </c>
      <c r="S12" s="442">
        <f t="shared" si="1"/>
        <v>0.47325</v>
      </c>
    </row>
    <row r="13" spans="2:19" ht="16">
      <c r="B13" s="138" t="s">
        <v>65</v>
      </c>
      <c r="C13" s="453">
        <v>0.375</v>
      </c>
      <c r="D13" s="453">
        <v>0.5</v>
      </c>
      <c r="E13" s="453">
        <v>0</v>
      </c>
      <c r="F13" s="453">
        <v>0.125</v>
      </c>
      <c r="G13" s="453">
        <v>0.375</v>
      </c>
      <c r="H13" s="453">
        <v>0.5</v>
      </c>
      <c r="I13" s="453">
        <v>0.36099999999999999</v>
      </c>
      <c r="J13" s="453">
        <v>0.39900000000000002</v>
      </c>
      <c r="K13" s="453">
        <v>6.0000000000000001E-3</v>
      </c>
      <c r="L13" s="453">
        <v>2.3E-2</v>
      </c>
      <c r="M13" s="453">
        <v>3.7999999999999999E-2</v>
      </c>
      <c r="N13" s="453">
        <v>0.17299999999999999</v>
      </c>
      <c r="O13" s="453">
        <f t="shared" si="0"/>
        <v>0.4385</v>
      </c>
      <c r="Q13" s="137" t="s">
        <v>65</v>
      </c>
      <c r="R13" s="454" t="s">
        <v>65</v>
      </c>
      <c r="S13" s="442">
        <f t="shared" si="1"/>
        <v>0.4385</v>
      </c>
    </row>
    <row r="14" spans="2:19" ht="16">
      <c r="B14" s="138" t="s">
        <v>71</v>
      </c>
      <c r="C14" s="453">
        <v>0.25</v>
      </c>
      <c r="D14" s="453">
        <v>0.625</v>
      </c>
      <c r="E14" s="453">
        <v>0</v>
      </c>
      <c r="F14" s="453">
        <v>0.125</v>
      </c>
      <c r="G14" s="453">
        <v>0.25</v>
      </c>
      <c r="H14" s="453">
        <v>0.25</v>
      </c>
      <c r="I14" s="453">
        <v>0.36699999999999999</v>
      </c>
      <c r="J14" s="453">
        <v>0.40899999999999997</v>
      </c>
      <c r="K14" s="453">
        <v>8.0000000000000002E-3</v>
      </c>
      <c r="L14" s="453">
        <v>2.3E-2</v>
      </c>
      <c r="M14" s="453">
        <v>3.5000000000000003E-2</v>
      </c>
      <c r="N14" s="453">
        <v>0.159</v>
      </c>
      <c r="O14" s="453">
        <f t="shared" si="0"/>
        <v>0.39874999999999999</v>
      </c>
      <c r="Q14" s="137" t="s">
        <v>71</v>
      </c>
      <c r="R14" s="454" t="s">
        <v>71</v>
      </c>
      <c r="S14" s="442">
        <f t="shared" si="1"/>
        <v>0.39874999999999999</v>
      </c>
    </row>
    <row r="15" spans="2:19" ht="16">
      <c r="B15" s="138" t="s">
        <v>294</v>
      </c>
      <c r="C15" s="453">
        <v>0.375</v>
      </c>
      <c r="D15" s="453">
        <v>0.125</v>
      </c>
      <c r="E15" s="453">
        <v>0</v>
      </c>
      <c r="F15" s="453">
        <v>0</v>
      </c>
      <c r="G15" s="453">
        <v>0</v>
      </c>
      <c r="H15" s="453">
        <v>0</v>
      </c>
      <c r="I15" s="453">
        <v>0.99299999999999999</v>
      </c>
      <c r="J15" s="453">
        <v>7.0000000000000001E-3</v>
      </c>
      <c r="K15" s="453">
        <v>0</v>
      </c>
      <c r="L15" s="453">
        <v>0</v>
      </c>
      <c r="M15" s="453">
        <v>0</v>
      </c>
      <c r="N15" s="453">
        <v>0</v>
      </c>
      <c r="O15" s="453">
        <f t="shared" si="0"/>
        <v>0.37325000000000003</v>
      </c>
      <c r="Q15" s="137" t="s">
        <v>81</v>
      </c>
      <c r="R15" s="454" t="s">
        <v>294</v>
      </c>
      <c r="S15" s="442">
        <f t="shared" si="1"/>
        <v>0.37325000000000003</v>
      </c>
    </row>
    <row r="16" spans="2:19" ht="16">
      <c r="B16" s="138" t="s">
        <v>61</v>
      </c>
      <c r="C16" s="453">
        <v>0.375</v>
      </c>
      <c r="D16" s="453">
        <v>0.375</v>
      </c>
      <c r="E16" s="453">
        <v>0</v>
      </c>
      <c r="F16" s="453">
        <v>0.25</v>
      </c>
      <c r="G16" s="453">
        <v>0.125</v>
      </c>
      <c r="H16" s="453">
        <v>0.375</v>
      </c>
      <c r="I16" s="453">
        <v>0.36899999999999999</v>
      </c>
      <c r="J16" s="453">
        <v>0.221</v>
      </c>
      <c r="K16" s="453">
        <v>0</v>
      </c>
      <c r="L16" s="453">
        <v>4.0000000000000001E-3</v>
      </c>
      <c r="M16" s="453">
        <v>0.01</v>
      </c>
      <c r="N16" s="453">
        <v>0.39600000000000002</v>
      </c>
      <c r="O16" s="453">
        <f t="shared" si="0"/>
        <v>0.372</v>
      </c>
      <c r="Q16" s="137" t="s">
        <v>61</v>
      </c>
      <c r="R16" s="454" t="s">
        <v>61</v>
      </c>
      <c r="S16" s="442">
        <f t="shared" si="1"/>
        <v>0.372</v>
      </c>
    </row>
    <row r="17" spans="2:19" ht="16">
      <c r="B17" s="138" t="s">
        <v>191</v>
      </c>
      <c r="C17" s="453">
        <v>0</v>
      </c>
      <c r="D17" s="453">
        <v>0.25</v>
      </c>
      <c r="E17" s="453">
        <v>0.125</v>
      </c>
      <c r="F17" s="453">
        <v>0</v>
      </c>
      <c r="G17" s="453">
        <v>0.375</v>
      </c>
      <c r="H17" s="453">
        <v>0.25</v>
      </c>
      <c r="I17" s="453">
        <v>6.2E-2</v>
      </c>
      <c r="J17" s="453">
        <v>0.216</v>
      </c>
      <c r="K17" s="453">
        <v>0.16900000000000001</v>
      </c>
      <c r="L17" s="453">
        <v>0</v>
      </c>
      <c r="M17" s="453">
        <v>0.22800000000000001</v>
      </c>
      <c r="N17" s="453">
        <v>0.32500000000000001</v>
      </c>
      <c r="O17" s="453">
        <f t="shared" si="0"/>
        <v>0.24187500000000001</v>
      </c>
      <c r="Q17" s="137" t="s">
        <v>84</v>
      </c>
      <c r="R17" s="454" t="s">
        <v>191</v>
      </c>
      <c r="S17" s="442">
        <f t="shared" si="1"/>
        <v>0.24187500000000001</v>
      </c>
    </row>
    <row r="18" spans="2:19" ht="16">
      <c r="B18" s="138" t="s">
        <v>80</v>
      </c>
      <c r="C18" s="453">
        <v>0.125</v>
      </c>
      <c r="D18" s="453">
        <v>0.25</v>
      </c>
      <c r="E18" s="453">
        <v>0</v>
      </c>
      <c r="F18" s="453">
        <v>0</v>
      </c>
      <c r="G18" s="453">
        <v>0</v>
      </c>
      <c r="H18" s="453">
        <v>0.25</v>
      </c>
      <c r="I18" s="453">
        <v>8.2000000000000003E-2</v>
      </c>
      <c r="J18" s="453">
        <v>0.27800000000000002</v>
      </c>
      <c r="K18" s="453">
        <v>0</v>
      </c>
      <c r="L18" s="453">
        <v>0</v>
      </c>
      <c r="M18" s="453">
        <v>2E-3</v>
      </c>
      <c r="N18" s="453">
        <v>0.63800000000000001</v>
      </c>
      <c r="O18" s="453">
        <f t="shared" si="0"/>
        <v>0.23925000000000002</v>
      </c>
      <c r="Q18" s="137" t="s">
        <v>80</v>
      </c>
      <c r="R18" s="454" t="s">
        <v>80</v>
      </c>
      <c r="S18" s="442">
        <f t="shared" si="1"/>
        <v>0.23925000000000002</v>
      </c>
    </row>
    <row r="19" spans="2:19" ht="16">
      <c r="B19" s="138" t="s">
        <v>91</v>
      </c>
      <c r="C19" s="453">
        <v>0.125</v>
      </c>
      <c r="D19" s="453">
        <v>0.375</v>
      </c>
      <c r="E19" s="453">
        <v>0</v>
      </c>
      <c r="F19" s="453">
        <v>0.25</v>
      </c>
      <c r="G19" s="453">
        <v>0</v>
      </c>
      <c r="H19" s="453">
        <v>0.25</v>
      </c>
      <c r="I19" s="453">
        <v>0.28399999999999997</v>
      </c>
      <c r="J19" s="453">
        <v>0.13400000000000001</v>
      </c>
      <c r="K19" s="453">
        <v>1.2E-2</v>
      </c>
      <c r="L19" s="453">
        <v>0.19800000000000001</v>
      </c>
      <c r="M19" s="453">
        <v>0</v>
      </c>
      <c r="N19" s="453">
        <v>0.373</v>
      </c>
      <c r="O19" s="453">
        <f t="shared" si="0"/>
        <v>0.22849999999999998</v>
      </c>
      <c r="Q19" s="137" t="s">
        <v>91</v>
      </c>
      <c r="R19" s="454" t="s">
        <v>91</v>
      </c>
      <c r="S19" s="442">
        <f t="shared" si="1"/>
        <v>0.22849999999999998</v>
      </c>
    </row>
    <row r="20" spans="2:19" ht="16">
      <c r="B20" s="138" t="s">
        <v>77</v>
      </c>
      <c r="C20" s="453">
        <v>0.25</v>
      </c>
      <c r="D20" s="453">
        <v>0.375</v>
      </c>
      <c r="E20" s="453">
        <v>0</v>
      </c>
      <c r="F20" s="453">
        <v>0.125</v>
      </c>
      <c r="G20" s="453">
        <v>0</v>
      </c>
      <c r="H20" s="453">
        <v>0.25</v>
      </c>
      <c r="I20" s="453">
        <v>0.247</v>
      </c>
      <c r="J20" s="453">
        <v>0.13</v>
      </c>
      <c r="K20" s="453">
        <v>2.9000000000000001E-2</v>
      </c>
      <c r="L20" s="453">
        <v>0.29599999999999999</v>
      </c>
      <c r="M20" s="453">
        <v>3.0000000000000001E-3</v>
      </c>
      <c r="N20" s="453">
        <v>0.29499999999999998</v>
      </c>
      <c r="O20" s="453">
        <f t="shared" si="0"/>
        <v>0.22125</v>
      </c>
      <c r="Q20" s="137" t="s">
        <v>77</v>
      </c>
      <c r="R20" s="454" t="s">
        <v>77</v>
      </c>
      <c r="S20" s="442">
        <f t="shared" si="1"/>
        <v>0.22125</v>
      </c>
    </row>
    <row r="21" spans="2:19" ht="16">
      <c r="B21" s="138" t="s">
        <v>295</v>
      </c>
      <c r="C21" s="453">
        <v>0</v>
      </c>
      <c r="D21" s="453">
        <v>0.125</v>
      </c>
      <c r="E21" s="453">
        <v>0.25</v>
      </c>
      <c r="F21" s="453">
        <v>0</v>
      </c>
      <c r="G21" s="453">
        <v>0</v>
      </c>
      <c r="H21" s="453">
        <v>0</v>
      </c>
      <c r="I21" s="453">
        <v>0.1</v>
      </c>
      <c r="J21" s="453">
        <v>0.13500000000000001</v>
      </c>
      <c r="K21" s="453">
        <v>0.67600000000000005</v>
      </c>
      <c r="L21" s="453">
        <v>8.9999999999999993E-3</v>
      </c>
      <c r="M21" s="453">
        <v>5.0000000000000001E-3</v>
      </c>
      <c r="N21" s="453">
        <v>7.4999999999999997E-2</v>
      </c>
      <c r="O21" s="453">
        <f t="shared" si="0"/>
        <v>0.18587500000000001</v>
      </c>
      <c r="Q21" s="137" t="s">
        <v>79</v>
      </c>
      <c r="R21" s="454" t="s">
        <v>295</v>
      </c>
      <c r="S21" s="442">
        <f t="shared" si="1"/>
        <v>0.18587500000000001</v>
      </c>
    </row>
    <row r="22" spans="2:19" ht="16">
      <c r="B22" s="138" t="s">
        <v>70</v>
      </c>
      <c r="C22" s="453">
        <v>0.25</v>
      </c>
      <c r="D22" s="453">
        <v>0</v>
      </c>
      <c r="E22" s="453">
        <v>0</v>
      </c>
      <c r="F22" s="453">
        <v>0</v>
      </c>
      <c r="G22" s="453">
        <v>0.125</v>
      </c>
      <c r="H22" s="453">
        <v>0.125</v>
      </c>
      <c r="I22" s="453">
        <v>0.25</v>
      </c>
      <c r="J22" s="453">
        <v>1E-3</v>
      </c>
      <c r="K22" s="453">
        <v>0</v>
      </c>
      <c r="L22" s="453">
        <v>0</v>
      </c>
      <c r="M22" s="453">
        <v>1.0999999999999999E-2</v>
      </c>
      <c r="N22" s="453">
        <v>0.73799999999999999</v>
      </c>
      <c r="O22" s="453">
        <f t="shared" si="0"/>
        <v>0.15612500000000001</v>
      </c>
      <c r="Q22" s="137" t="s">
        <v>70</v>
      </c>
      <c r="R22" s="454" t="s">
        <v>70</v>
      </c>
      <c r="S22" s="442">
        <f t="shared" si="1"/>
        <v>0.15612500000000001</v>
      </c>
    </row>
    <row r="23" spans="2:19" ht="16">
      <c r="B23" s="138" t="s">
        <v>89</v>
      </c>
      <c r="C23" s="453">
        <v>0.125</v>
      </c>
      <c r="D23" s="453">
        <v>0.125</v>
      </c>
      <c r="E23" s="453">
        <v>0</v>
      </c>
      <c r="F23" s="453">
        <v>0</v>
      </c>
      <c r="G23" s="453">
        <v>0</v>
      </c>
      <c r="H23" s="453">
        <v>0</v>
      </c>
      <c r="I23" s="453">
        <v>0.371</v>
      </c>
      <c r="J23" s="453">
        <v>1.9E-2</v>
      </c>
      <c r="K23" s="453">
        <v>2.5999999999999999E-2</v>
      </c>
      <c r="L23" s="453">
        <v>0.183</v>
      </c>
      <c r="M23" s="453">
        <v>0</v>
      </c>
      <c r="N23" s="453">
        <v>0.40200000000000002</v>
      </c>
      <c r="O23" s="453">
        <f t="shared" si="0"/>
        <v>4.8750000000000002E-2</v>
      </c>
      <c r="Q23" s="137" t="s">
        <v>89</v>
      </c>
      <c r="R23" s="454" t="s">
        <v>89</v>
      </c>
      <c r="S23" s="442">
        <f t="shared" si="1"/>
        <v>4.8750000000000002E-2</v>
      </c>
    </row>
    <row r="24" spans="2:19" ht="16">
      <c r="B24" s="139" t="s">
        <v>97</v>
      </c>
      <c r="C24" s="453">
        <v>0</v>
      </c>
      <c r="D24" s="453">
        <v>0.125</v>
      </c>
      <c r="E24" s="453">
        <v>0</v>
      </c>
      <c r="F24" s="453">
        <v>0</v>
      </c>
      <c r="G24" s="453">
        <v>0</v>
      </c>
      <c r="H24" s="453">
        <v>0</v>
      </c>
      <c r="I24" s="453">
        <v>0.107</v>
      </c>
      <c r="J24" s="453">
        <v>0.22500000000000001</v>
      </c>
      <c r="K24" s="453">
        <v>0</v>
      </c>
      <c r="L24" s="453">
        <v>0.219</v>
      </c>
      <c r="M24" s="453">
        <v>0</v>
      </c>
      <c r="N24" s="453">
        <v>0.44900000000000001</v>
      </c>
      <c r="O24" s="453">
        <f t="shared" si="0"/>
        <v>2.8125000000000001E-2</v>
      </c>
      <c r="Q24" s="137" t="s">
        <v>97</v>
      </c>
      <c r="R24" s="454" t="s">
        <v>97</v>
      </c>
      <c r="S24" s="442">
        <f t="shared" si="1"/>
        <v>2.8125000000000001E-2</v>
      </c>
    </row>
    <row r="25" spans="2:19" ht="16">
      <c r="B25" s="139" t="s">
        <v>99</v>
      </c>
      <c r="C25" s="453">
        <v>0</v>
      </c>
      <c r="D25" s="453">
        <v>0</v>
      </c>
      <c r="E25" s="453">
        <v>0</v>
      </c>
      <c r="F25" s="453">
        <v>0</v>
      </c>
      <c r="G25" s="453">
        <v>0</v>
      </c>
      <c r="H25" s="453">
        <v>0</v>
      </c>
      <c r="I25" s="453">
        <v>0</v>
      </c>
      <c r="J25" s="453">
        <v>7.7568377389383228E-2</v>
      </c>
      <c r="K25" s="453">
        <v>0.67168292286214903</v>
      </c>
      <c r="L25" s="453">
        <v>0.2507486997484677</v>
      </c>
      <c r="M25" s="453">
        <v>0</v>
      </c>
      <c r="N25" s="453">
        <v>0</v>
      </c>
      <c r="O25" s="453">
        <v>0</v>
      </c>
      <c r="Q25" s="137" t="s">
        <v>99</v>
      </c>
      <c r="R25" s="454" t="s">
        <v>99</v>
      </c>
      <c r="S25" s="442">
        <v>0</v>
      </c>
    </row>
    <row r="26" spans="2:19" ht="16">
      <c r="R26" s="137"/>
      <c r="S26" s="137"/>
    </row>
    <row r="27" spans="2:19" ht="16">
      <c r="R27" s="137"/>
      <c r="S27" s="137"/>
    </row>
    <row r="28" spans="2:19" ht="16">
      <c r="R28" s="137"/>
      <c r="S28" s="137"/>
    </row>
    <row r="29" spans="2:19" ht="16">
      <c r="R29" s="137"/>
      <c r="S29" s="137"/>
    </row>
    <row r="30" spans="2:19" ht="16">
      <c r="R30" s="137"/>
      <c r="S30" s="137"/>
    </row>
    <row r="31" spans="2:19" ht="16">
      <c r="R31" s="137"/>
      <c r="S31" s="137"/>
    </row>
    <row r="32" spans="2:19" ht="16">
      <c r="R32" s="137"/>
      <c r="S32" s="137"/>
    </row>
    <row r="33" spans="18:19" ht="16">
      <c r="R33" s="137"/>
      <c r="S33" s="137"/>
    </row>
    <row r="34" spans="18:19" ht="16">
      <c r="R34" s="137"/>
      <c r="S34" s="137"/>
    </row>
    <row r="35" spans="18:19" ht="16">
      <c r="R35" s="137"/>
      <c r="S35" s="137"/>
    </row>
    <row r="36" spans="18:19" ht="16">
      <c r="R36" s="137"/>
      <c r="S36" s="137"/>
    </row>
    <row r="37" spans="18:19" ht="16">
      <c r="R37" s="137"/>
      <c r="S37" s="137"/>
    </row>
    <row r="38" spans="18:19" ht="16">
      <c r="R38" s="137"/>
      <c r="S38" s="137"/>
    </row>
    <row r="39" spans="18:19" ht="16">
      <c r="R39" s="137"/>
      <c r="S39" s="137"/>
    </row>
    <row r="40" spans="18:19" ht="16">
      <c r="R40" s="137"/>
      <c r="S40" s="137"/>
    </row>
    <row r="41" spans="18:19" ht="16">
      <c r="R41" s="137"/>
      <c r="S41" s="137"/>
    </row>
    <row r="42" spans="18:19" ht="16">
      <c r="R42" s="137"/>
      <c r="S42" s="137"/>
    </row>
    <row r="43" spans="18:19" ht="16">
      <c r="R43" s="137"/>
      <c r="S43" s="137"/>
    </row>
    <row r="44" spans="18:19" ht="16">
      <c r="R44" s="137"/>
      <c r="S44" s="137"/>
    </row>
    <row r="45" spans="18:19" ht="16">
      <c r="R45" s="137"/>
      <c r="S45" s="137"/>
    </row>
    <row r="46" spans="18:19" ht="16">
      <c r="R46" s="137"/>
      <c r="S46" s="137"/>
    </row>
    <row r="47" spans="18:19" ht="16">
      <c r="R47" s="137"/>
      <c r="S47" s="137"/>
    </row>
    <row r="48" spans="18:19" ht="16">
      <c r="R48" s="137"/>
      <c r="S48" s="137"/>
    </row>
    <row r="49" spans="18:19" ht="16">
      <c r="R49" s="137"/>
      <c r="S49" s="137"/>
    </row>
    <row r="50" spans="18:19" ht="16">
      <c r="R50" s="137"/>
      <c r="S50" s="137"/>
    </row>
    <row r="51" spans="18:19" ht="16">
      <c r="R51" s="137"/>
      <c r="S51" s="137"/>
    </row>
    <row r="52" spans="18:19" ht="16">
      <c r="R52" s="137"/>
      <c r="S52" s="137"/>
    </row>
    <row r="53" spans="18:19" ht="16">
      <c r="R53" s="137"/>
      <c r="S53" s="137"/>
    </row>
    <row r="54" spans="18:19" ht="16">
      <c r="R54" s="137"/>
      <c r="S54" s="137"/>
    </row>
    <row r="55" spans="18:19" ht="16">
      <c r="R55" s="137"/>
      <c r="S55" s="137"/>
    </row>
    <row r="56" spans="18:19" ht="16">
      <c r="R56" s="137"/>
      <c r="S56" s="137"/>
    </row>
    <row r="57" spans="18:19" ht="16">
      <c r="R57" s="137"/>
      <c r="S57" s="137"/>
    </row>
    <row r="58" spans="18:19" ht="16">
      <c r="R58" s="137"/>
      <c r="S58" s="137"/>
    </row>
    <row r="59" spans="18:19" ht="16">
      <c r="R59" s="137"/>
      <c r="S59" s="137"/>
    </row>
    <row r="60" spans="18:19" ht="16">
      <c r="R60" s="137"/>
      <c r="S60" s="137"/>
    </row>
    <row r="61" spans="18:19" ht="16">
      <c r="R61" s="137"/>
      <c r="S61" s="137"/>
    </row>
    <row r="62" spans="18:19" ht="16">
      <c r="R62" s="137"/>
      <c r="S62" s="137"/>
    </row>
    <row r="63" spans="18:19" ht="16">
      <c r="R63" s="137"/>
      <c r="S63" s="137"/>
    </row>
    <row r="64" spans="18:19" ht="16">
      <c r="R64" s="137"/>
      <c r="S64" s="137"/>
    </row>
    <row r="65" spans="18:19" ht="16">
      <c r="R65" s="137"/>
      <c r="S65" s="137"/>
    </row>
    <row r="66" spans="18:19" ht="16">
      <c r="R66" s="137"/>
      <c r="S66" s="137"/>
    </row>
    <row r="67" spans="18:19" ht="16">
      <c r="R67" s="137"/>
      <c r="S67" s="137"/>
    </row>
    <row r="68" spans="18:19" ht="16">
      <c r="R68" s="137"/>
      <c r="S68" s="137"/>
    </row>
    <row r="69" spans="18:19" ht="16">
      <c r="R69" s="137"/>
      <c r="S69" s="137"/>
    </row>
    <row r="70" spans="18:19" ht="16">
      <c r="R70" s="137"/>
      <c r="S70" s="137"/>
    </row>
    <row r="71" spans="18:19" ht="16">
      <c r="R71" s="137"/>
      <c r="S71" s="137"/>
    </row>
    <row r="72" spans="18:19" ht="16">
      <c r="R72" s="137"/>
      <c r="S72" s="137"/>
    </row>
    <row r="73" spans="18:19" ht="16">
      <c r="R73" s="137"/>
      <c r="S73" s="137"/>
    </row>
    <row r="74" spans="18:19" ht="16">
      <c r="R74" s="137"/>
      <c r="S74" s="137"/>
    </row>
    <row r="75" spans="18:19" ht="16">
      <c r="R75" s="137"/>
      <c r="S75" s="137"/>
    </row>
    <row r="76" spans="18:19" ht="16">
      <c r="R76" s="137"/>
      <c r="S76" s="137"/>
    </row>
    <row r="77" spans="18:19" ht="16">
      <c r="R77" s="137"/>
      <c r="S77" s="137"/>
    </row>
    <row r="78" spans="18:19" ht="16">
      <c r="R78" s="137"/>
      <c r="S78" s="137"/>
    </row>
    <row r="79" spans="18:19" ht="16">
      <c r="R79" s="137"/>
      <c r="S79" s="137"/>
    </row>
    <row r="80" spans="18:19" ht="16">
      <c r="R80" s="137"/>
      <c r="S80" s="137"/>
    </row>
    <row r="81" spans="18:19" ht="16">
      <c r="R81" s="137"/>
      <c r="S81" s="137"/>
    </row>
    <row r="82" spans="18:19" ht="16">
      <c r="R82" s="137"/>
      <c r="S82" s="137"/>
    </row>
    <row r="83" spans="18:19" ht="16">
      <c r="R83" s="137"/>
      <c r="S83" s="137"/>
    </row>
    <row r="84" spans="18:19" ht="16">
      <c r="R84" s="137"/>
      <c r="S84" s="137"/>
    </row>
    <row r="85" spans="18:19" ht="16">
      <c r="R85" s="137"/>
      <c r="S85" s="137"/>
    </row>
    <row r="86" spans="18:19" ht="16">
      <c r="R86" s="137"/>
      <c r="S86" s="137"/>
    </row>
    <row r="87" spans="18:19" ht="16">
      <c r="R87" s="137"/>
      <c r="S87" s="137"/>
    </row>
    <row r="88" spans="18:19" ht="16">
      <c r="R88" s="137"/>
      <c r="S88" s="137"/>
    </row>
    <row r="89" spans="18:19" ht="16">
      <c r="R89" s="137"/>
      <c r="S89" s="137"/>
    </row>
    <row r="90" spans="18:19" ht="16">
      <c r="R90" s="137"/>
      <c r="S90" s="137"/>
    </row>
    <row r="91" spans="18:19" ht="16">
      <c r="R91" s="137"/>
      <c r="S91" s="137"/>
    </row>
    <row r="92" spans="18:19" ht="16">
      <c r="R92" s="137"/>
      <c r="S92" s="137"/>
    </row>
    <row r="93" spans="18:19" ht="16">
      <c r="R93" s="137"/>
      <c r="S93" s="137"/>
    </row>
    <row r="94" spans="18:19" ht="16">
      <c r="R94" s="137"/>
      <c r="S94" s="137"/>
    </row>
    <row r="95" spans="18:19" ht="16">
      <c r="R95" s="137"/>
      <c r="S95" s="137"/>
    </row>
    <row r="96" spans="18:19" ht="16">
      <c r="R96" s="137"/>
      <c r="S96" s="137"/>
    </row>
    <row r="97" spans="18:19" ht="16">
      <c r="R97" s="137"/>
      <c r="S97" s="137"/>
    </row>
    <row r="98" spans="18:19" ht="16">
      <c r="R98" s="137"/>
      <c r="S98" s="137"/>
    </row>
    <row r="99" spans="18:19" ht="16">
      <c r="R99" s="137"/>
      <c r="S99" s="137"/>
    </row>
    <row r="100" spans="18:19" ht="16">
      <c r="R100" s="137"/>
      <c r="S100" s="137"/>
    </row>
    <row r="101" spans="18:19" ht="16">
      <c r="R101" s="137"/>
      <c r="S101" s="137"/>
    </row>
    <row r="102" spans="18:19" ht="16">
      <c r="R102" s="137"/>
      <c r="S102" s="137"/>
    </row>
    <row r="103" spans="18:19" ht="16">
      <c r="R103" s="137"/>
      <c r="S103" s="137"/>
    </row>
    <row r="104" spans="18:19" ht="16">
      <c r="R104" s="137"/>
      <c r="S104" s="137"/>
    </row>
    <row r="105" spans="18:19" ht="16">
      <c r="R105" s="137"/>
      <c r="S105" s="137"/>
    </row>
    <row r="106" spans="18:19" ht="16">
      <c r="R106" s="137"/>
      <c r="S106" s="137"/>
    </row>
    <row r="107" spans="18:19" ht="16">
      <c r="R107" s="137"/>
      <c r="S107" s="137"/>
    </row>
    <row r="108" spans="18:19" ht="16">
      <c r="R108" s="137"/>
      <c r="S108" s="137"/>
    </row>
    <row r="109" spans="18:19" ht="16">
      <c r="R109" s="137"/>
      <c r="S109" s="137"/>
    </row>
    <row r="110" spans="18:19" ht="16">
      <c r="R110" s="137"/>
      <c r="S110" s="137"/>
    </row>
    <row r="111" spans="18:19" ht="16">
      <c r="R111" s="137"/>
      <c r="S111" s="137"/>
    </row>
    <row r="112" spans="18:19" ht="16">
      <c r="R112" s="137"/>
      <c r="S112" s="137"/>
    </row>
    <row r="113" spans="18:19" ht="16">
      <c r="R113" s="137"/>
      <c r="S113" s="137"/>
    </row>
    <row r="114" spans="18:19" ht="16">
      <c r="R114" s="137"/>
      <c r="S114" s="137"/>
    </row>
    <row r="115" spans="18:19" ht="16">
      <c r="R115" s="137"/>
      <c r="S115" s="137"/>
    </row>
    <row r="116" spans="18:19" ht="16">
      <c r="R116" s="137"/>
      <c r="S116" s="137"/>
    </row>
    <row r="117" spans="18:19" ht="16">
      <c r="R117" s="137"/>
      <c r="S117" s="137"/>
    </row>
    <row r="118" spans="18:19" ht="16">
      <c r="R118" s="137"/>
      <c r="S118" s="137"/>
    </row>
    <row r="119" spans="18:19" ht="16">
      <c r="R119" s="137"/>
      <c r="S119" s="137"/>
    </row>
    <row r="120" spans="18:19" ht="16">
      <c r="R120" s="137"/>
      <c r="S120" s="137"/>
    </row>
    <row r="121" spans="18:19" ht="16">
      <c r="R121" s="137"/>
      <c r="S121" s="137"/>
    </row>
    <row r="122" spans="18:19" ht="16">
      <c r="R122" s="137"/>
      <c r="S122" s="137"/>
    </row>
    <row r="123" spans="18:19" ht="16">
      <c r="R123" s="137"/>
      <c r="S123" s="137"/>
    </row>
    <row r="124" spans="18:19" ht="16">
      <c r="R124" s="137"/>
      <c r="S124" s="137"/>
    </row>
    <row r="125" spans="18:19" ht="16">
      <c r="R125" s="137"/>
      <c r="S125" s="137"/>
    </row>
    <row r="126" spans="18:19" ht="16">
      <c r="R126" s="137"/>
      <c r="S126" s="137"/>
    </row>
    <row r="127" spans="18:19" ht="16">
      <c r="R127" s="137"/>
      <c r="S127" s="137"/>
    </row>
    <row r="128" spans="18:19" ht="16">
      <c r="R128" s="137"/>
      <c r="S128" s="137"/>
    </row>
    <row r="129" spans="18:19" ht="16">
      <c r="R129" s="137"/>
      <c r="S129" s="137"/>
    </row>
    <row r="130" spans="18:19" ht="16">
      <c r="R130" s="137"/>
      <c r="S130" s="137"/>
    </row>
    <row r="131" spans="18:19" ht="16">
      <c r="R131" s="137"/>
      <c r="S131" s="137"/>
    </row>
    <row r="132" spans="18:19" ht="16">
      <c r="R132" s="137"/>
      <c r="S132" s="137"/>
    </row>
    <row r="133" spans="18:19" ht="16">
      <c r="R133" s="137"/>
      <c r="S133" s="137"/>
    </row>
    <row r="134" spans="18:19" ht="16">
      <c r="R134" s="137"/>
      <c r="S134" s="137"/>
    </row>
    <row r="135" spans="18:19" ht="16">
      <c r="R135" s="137"/>
      <c r="S135" s="137"/>
    </row>
    <row r="136" spans="18:19" ht="16">
      <c r="R136" s="137"/>
      <c r="S136" s="137"/>
    </row>
    <row r="137" spans="18:19" ht="16">
      <c r="R137" s="137"/>
      <c r="S137" s="137"/>
    </row>
    <row r="138" spans="18:19" ht="16">
      <c r="R138" s="137"/>
      <c r="S138" s="137"/>
    </row>
    <row r="139" spans="18:19" ht="16">
      <c r="R139" s="137"/>
      <c r="S139" s="137"/>
    </row>
    <row r="140" spans="18:19" ht="16">
      <c r="R140" s="137"/>
      <c r="S140" s="137"/>
    </row>
    <row r="141" spans="18:19" ht="16">
      <c r="R141" s="137"/>
      <c r="S141" s="137"/>
    </row>
    <row r="142" spans="18:19" ht="16">
      <c r="R142" s="137"/>
      <c r="S142" s="137"/>
    </row>
    <row r="143" spans="18:19" ht="16">
      <c r="R143" s="137"/>
      <c r="S143" s="137"/>
    </row>
    <row r="144" spans="18:19" ht="16">
      <c r="R144" s="137"/>
      <c r="S144" s="137"/>
    </row>
    <row r="145" spans="18:19" ht="16">
      <c r="R145" s="137"/>
      <c r="S145" s="137"/>
    </row>
    <row r="146" spans="18:19" ht="16">
      <c r="R146" s="137"/>
      <c r="S146" s="137"/>
    </row>
    <row r="147" spans="18:19" ht="16">
      <c r="R147" s="137"/>
      <c r="S147" s="137"/>
    </row>
    <row r="148" spans="18:19" ht="16">
      <c r="R148" s="137"/>
      <c r="S148" s="137"/>
    </row>
    <row r="149" spans="18:19" ht="16">
      <c r="R149" s="137"/>
      <c r="S149" s="137"/>
    </row>
    <row r="150" spans="18:19" ht="16">
      <c r="R150" s="137"/>
      <c r="S150" s="137"/>
    </row>
    <row r="151" spans="18:19" ht="16">
      <c r="R151" s="137"/>
      <c r="S151" s="137"/>
    </row>
    <row r="152" spans="18:19" ht="16">
      <c r="R152" s="137"/>
      <c r="S152" s="137"/>
    </row>
    <row r="153" spans="18:19" ht="16">
      <c r="R153" s="137"/>
      <c r="S153" s="137"/>
    </row>
    <row r="154" spans="18:19" ht="16">
      <c r="R154" s="137"/>
      <c r="S154" s="137"/>
    </row>
    <row r="155" spans="18:19" ht="16">
      <c r="R155" s="137"/>
      <c r="S155" s="137"/>
    </row>
    <row r="156" spans="18:19" ht="16">
      <c r="R156" s="137"/>
      <c r="S156" s="137"/>
    </row>
    <row r="157" spans="18:19" ht="16">
      <c r="R157" s="137"/>
      <c r="S157" s="137"/>
    </row>
    <row r="158" spans="18:19" ht="16">
      <c r="R158" s="137"/>
      <c r="S158" s="137"/>
    </row>
  </sheetData>
  <sheetProtection algorithmName="SHA-512" hashValue="zUeUB7rgLLexAac6f+/1cMbtgD9xu52WZm3DhJdOG0bFfEo0jTer6Aap6Vqy8dh/l63o3itKneBReSF0dzCMJA==" saltValue="FaDYAtT1xGETFjG0dHRtSg==" spinCount="100000" sheet="1" objects="1" scenarios="1" selectLockedCells="1" selectUnlockedCells="1"/>
  <sortState xmlns:xlrd2="http://schemas.microsoft.com/office/spreadsheetml/2017/richdata2" ref="B5:S25">
    <sortCondition descending="1" ref="O5:O25"/>
  </sortState>
  <mergeCells count="4">
    <mergeCell ref="B2:H2"/>
    <mergeCell ref="O3:O4"/>
    <mergeCell ref="I3:N3"/>
    <mergeCell ref="B3:H3"/>
  </mergeCells>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5A5FA-3FDE-BC4D-B3AF-E8309B6D8967}">
  <sheetPr>
    <tabColor rgb="FFC9ECE6"/>
  </sheetPr>
  <dimension ref="B1:N25"/>
  <sheetViews>
    <sheetView zoomScale="70" zoomScaleNormal="70" workbookViewId="0">
      <selection activeCell="G20" sqref="G20"/>
    </sheetView>
  </sheetViews>
  <sheetFormatPr baseColWidth="10" defaultColWidth="11" defaultRowHeight="16"/>
  <cols>
    <col min="1" max="1" width="6" style="8" customWidth="1"/>
    <col min="2" max="2" width="14.6640625" style="8" hidden="1" customWidth="1"/>
    <col min="3" max="3" width="15.5" style="8" customWidth="1"/>
    <col min="4" max="11" width="11" style="8"/>
    <col min="12" max="12" width="20" style="8" customWidth="1"/>
    <col min="13" max="13" width="12.6640625" style="8" customWidth="1"/>
    <col min="14" max="16384" width="11" style="8"/>
  </cols>
  <sheetData>
    <row r="1" spans="2:14">
      <c r="C1" s="6" t="s">
        <v>284</v>
      </c>
      <c r="D1" s="6"/>
      <c r="E1" s="6"/>
      <c r="F1" s="6"/>
      <c r="G1" s="6"/>
      <c r="H1" s="6"/>
      <c r="I1" s="6"/>
      <c r="J1" s="6"/>
      <c r="K1" s="6"/>
      <c r="L1" s="6"/>
    </row>
    <row r="2" spans="2:14">
      <c r="B2" s="277" t="s">
        <v>285</v>
      </c>
      <c r="C2" s="6"/>
      <c r="D2" s="6"/>
      <c r="E2" s="6"/>
      <c r="F2" s="6"/>
      <c r="G2" s="6"/>
      <c r="H2" s="6"/>
      <c r="I2" s="6"/>
      <c r="J2" s="6"/>
      <c r="K2" s="6"/>
      <c r="L2" s="6"/>
    </row>
    <row r="3" spans="2:14" ht="28" customHeight="1">
      <c r="C3" s="510" t="s">
        <v>36</v>
      </c>
      <c r="D3" s="512" t="s">
        <v>303</v>
      </c>
      <c r="E3" s="512"/>
      <c r="F3" s="512"/>
      <c r="G3" s="512"/>
      <c r="H3" s="513"/>
      <c r="I3" s="512" t="s">
        <v>304</v>
      </c>
      <c r="J3" s="512"/>
      <c r="K3" s="513"/>
      <c r="L3" s="510" t="s">
        <v>305</v>
      </c>
      <c r="M3" s="510" t="s">
        <v>306</v>
      </c>
      <c r="N3" s="510" t="s">
        <v>579</v>
      </c>
    </row>
    <row r="4" spans="2:14" ht="28" customHeight="1">
      <c r="B4" s="8" t="s">
        <v>36</v>
      </c>
      <c r="C4" s="511"/>
      <c r="D4" s="318" t="s">
        <v>307</v>
      </c>
      <c r="E4" s="318" t="s">
        <v>308</v>
      </c>
      <c r="F4" s="318" t="s">
        <v>309</v>
      </c>
      <c r="G4" s="318" t="s">
        <v>310</v>
      </c>
      <c r="H4" s="318" t="s">
        <v>311</v>
      </c>
      <c r="I4" s="318" t="s">
        <v>312</v>
      </c>
      <c r="J4" s="318" t="s">
        <v>313</v>
      </c>
      <c r="K4" s="318" t="s">
        <v>310</v>
      </c>
      <c r="L4" s="511"/>
      <c r="M4" s="511"/>
      <c r="N4" s="511"/>
    </row>
    <row r="5" spans="2:14">
      <c r="B5" s="8" t="str">
        <f>_xlfn.XLOOKUP(C5,'REF_CS-GAR OEM'!B:B,'REF_CS-GAR OEM'!C:C)</f>
        <v>Tata Motors</v>
      </c>
      <c r="C5" s="285" t="s">
        <v>295</v>
      </c>
      <c r="D5" s="71">
        <v>112.1698</v>
      </c>
      <c r="E5" s="71" t="s">
        <v>314</v>
      </c>
      <c r="F5" s="71" t="s">
        <v>314</v>
      </c>
      <c r="G5" s="71" t="s">
        <v>314</v>
      </c>
      <c r="H5" s="71">
        <v>117.129</v>
      </c>
      <c r="I5" s="71" t="s">
        <v>314</v>
      </c>
      <c r="J5" s="71" t="s">
        <v>314</v>
      </c>
      <c r="K5" s="71" t="s">
        <v>314</v>
      </c>
      <c r="L5" s="71">
        <v>113.74460000000001</v>
      </c>
      <c r="M5" s="71">
        <v>84.337299999999999</v>
      </c>
      <c r="N5" s="107">
        <v>100</v>
      </c>
    </row>
    <row r="6" spans="2:14">
      <c r="B6" s="8" t="str">
        <f>_xlfn.XLOOKUP(C6,'REF_CS-GAR OEM'!B:B,'REF_CS-GAR OEM'!C:C)</f>
        <v>Tesla</v>
      </c>
      <c r="C6" s="285" t="s">
        <v>61</v>
      </c>
      <c r="D6" s="71" t="s">
        <v>314</v>
      </c>
      <c r="E6" s="71" t="s">
        <v>314</v>
      </c>
      <c r="F6" s="71">
        <v>101.7132</v>
      </c>
      <c r="G6" s="71">
        <v>117.2504</v>
      </c>
      <c r="H6" s="71">
        <v>123.36879999999999</v>
      </c>
      <c r="I6" s="71" t="s">
        <v>314</v>
      </c>
      <c r="J6" s="71" t="s">
        <v>314</v>
      </c>
      <c r="K6" s="71" t="s">
        <v>314</v>
      </c>
      <c r="L6" s="71">
        <v>117.0613</v>
      </c>
      <c r="M6" s="71">
        <v>128.125</v>
      </c>
      <c r="N6" s="107">
        <v>94.024362339807979</v>
      </c>
    </row>
    <row r="7" spans="2:14">
      <c r="B7" s="8" t="str">
        <f>_xlfn.XLOOKUP(C7,'REF_CS-GAR OEM'!B:B,'REF_CS-GAR OEM'!C:C)</f>
        <v>BMW</v>
      </c>
      <c r="C7" s="285" t="s">
        <v>65</v>
      </c>
      <c r="D7" s="71">
        <v>147.09620000000001</v>
      </c>
      <c r="E7" s="71" t="s">
        <v>314</v>
      </c>
      <c r="F7" s="71">
        <v>115.5651</v>
      </c>
      <c r="G7" s="71">
        <v>119.3828</v>
      </c>
      <c r="H7" s="71">
        <v>134.31489999999999</v>
      </c>
      <c r="I7" s="71" t="s">
        <v>314</v>
      </c>
      <c r="J7" s="71" t="s">
        <v>314</v>
      </c>
      <c r="K7" s="71" t="s">
        <v>314</v>
      </c>
      <c r="L7" s="71">
        <v>128.65799999999999</v>
      </c>
      <c r="M7" s="71">
        <v>148.059</v>
      </c>
      <c r="N7" s="107">
        <v>73.130800288989775</v>
      </c>
    </row>
    <row r="8" spans="2:14">
      <c r="B8" s="8" t="str">
        <f>_xlfn.XLOOKUP(C8,'REF_CS-GAR OEM'!B:B,'REF_CS-GAR OEM'!C:C)</f>
        <v>Toyota</v>
      </c>
      <c r="C8" s="285" t="s">
        <v>77</v>
      </c>
      <c r="D8" s="71">
        <v>112.8403</v>
      </c>
      <c r="E8" s="71" t="s">
        <v>314</v>
      </c>
      <c r="F8" s="71">
        <v>107.3951</v>
      </c>
      <c r="G8" s="71" t="s">
        <v>314</v>
      </c>
      <c r="H8" s="71">
        <v>124.84690000000001</v>
      </c>
      <c r="I8" s="71" t="s">
        <v>314</v>
      </c>
      <c r="J8" s="71">
        <v>185.6259</v>
      </c>
      <c r="K8" s="71">
        <v>235.03469999999999</v>
      </c>
      <c r="L8" s="71">
        <v>129.96250000000001</v>
      </c>
      <c r="M8" s="71">
        <v>138.93899999999999</v>
      </c>
      <c r="N8" s="107">
        <v>70.780506524790226</v>
      </c>
    </row>
    <row r="9" spans="2:14">
      <c r="B9" s="8" t="str">
        <f>_xlfn.XLOOKUP(C9,'REF_CS-GAR OEM'!B:B,'REF_CS-GAR OEM'!C:C)</f>
        <v>BYD</v>
      </c>
      <c r="C9" s="285" t="s">
        <v>64</v>
      </c>
      <c r="D9" s="71">
        <v>133.4948</v>
      </c>
      <c r="E9" s="71">
        <v>139.03909999999999</v>
      </c>
      <c r="F9" s="71">
        <v>118.6169</v>
      </c>
      <c r="G9" s="71">
        <v>131.4813</v>
      </c>
      <c r="H9" s="71">
        <v>128.56979999999999</v>
      </c>
      <c r="I9" s="71" t="s">
        <v>314</v>
      </c>
      <c r="J9" s="71">
        <v>211.9436</v>
      </c>
      <c r="K9" s="71" t="s">
        <v>314</v>
      </c>
      <c r="L9" s="71">
        <v>130.72149999999999</v>
      </c>
      <c r="M9" s="71">
        <v>124.18600000000001</v>
      </c>
      <c r="N9" s="107">
        <v>69.413030122316187</v>
      </c>
    </row>
    <row r="10" spans="2:14">
      <c r="B10" s="8" t="str">
        <f>_xlfn.XLOOKUP(C10,'REF_CS-GAR OEM'!B:B,'REF_CS-GAR OEM'!C:C)</f>
        <v>VW</v>
      </c>
      <c r="C10" s="285" t="s">
        <v>69</v>
      </c>
      <c r="D10" s="71">
        <v>146.51740000000001</v>
      </c>
      <c r="E10" s="71">
        <v>130.88130000000001</v>
      </c>
      <c r="F10" s="71" t="s">
        <v>314</v>
      </c>
      <c r="G10" s="71">
        <v>166.077</v>
      </c>
      <c r="H10" s="71">
        <v>131.9111</v>
      </c>
      <c r="I10" s="71" t="s">
        <v>314</v>
      </c>
      <c r="J10" s="71" t="s">
        <v>314</v>
      </c>
      <c r="K10" s="71">
        <v>160.91640000000001</v>
      </c>
      <c r="L10" s="71">
        <v>135.53630000000001</v>
      </c>
      <c r="M10" s="71">
        <v>151.84800000000001</v>
      </c>
      <c r="N10" s="107">
        <v>60.738293122800812</v>
      </c>
    </row>
    <row r="11" spans="2:14">
      <c r="B11" s="8" t="str">
        <f>_xlfn.XLOOKUP(C11,'REF_CS-GAR OEM'!B:B,'REF_CS-GAR OEM'!C:C)</f>
        <v>GM</v>
      </c>
      <c r="C11" s="285" t="s">
        <v>70</v>
      </c>
      <c r="D11" s="71" t="s">
        <v>314</v>
      </c>
      <c r="E11" s="71" t="s">
        <v>314</v>
      </c>
      <c r="F11" s="71">
        <v>122.6734</v>
      </c>
      <c r="G11" s="71" t="s">
        <v>314</v>
      </c>
      <c r="H11" s="71">
        <v>142.6044</v>
      </c>
      <c r="I11" s="71" t="s">
        <v>314</v>
      </c>
      <c r="J11" s="71" t="s">
        <v>314</v>
      </c>
      <c r="K11" s="71" t="s">
        <v>314</v>
      </c>
      <c r="L11" s="71">
        <v>136.46950000000001</v>
      </c>
      <c r="M11" s="71">
        <v>139.268</v>
      </c>
      <c r="N11" s="107">
        <v>59.056963769982886</v>
      </c>
    </row>
    <row r="12" spans="2:14">
      <c r="B12" s="8" t="str">
        <f>_xlfn.XLOOKUP(C12,'REF_CS-GAR OEM'!B:B,'REF_CS-GAR OEM'!C:C)</f>
        <v>SAIC</v>
      </c>
      <c r="C12" s="285" t="s">
        <v>68</v>
      </c>
      <c r="D12" s="71">
        <v>135.76410000000001</v>
      </c>
      <c r="E12" s="71">
        <v>138.5282</v>
      </c>
      <c r="F12" s="71">
        <v>149.99109999999999</v>
      </c>
      <c r="G12" s="71">
        <v>122.4718</v>
      </c>
      <c r="H12" s="71">
        <v>138.4383</v>
      </c>
      <c r="I12" s="71">
        <v>210.93199999999999</v>
      </c>
      <c r="J12" s="71">
        <v>154.83580000000001</v>
      </c>
      <c r="K12" s="71">
        <v>295.22949999999997</v>
      </c>
      <c r="L12" s="71">
        <v>138.3313</v>
      </c>
      <c r="M12" s="71">
        <v>109.629</v>
      </c>
      <c r="N12" s="107">
        <v>55.702592800119646</v>
      </c>
    </row>
    <row r="13" spans="2:14">
      <c r="B13" s="8" t="str">
        <f>_xlfn.XLOOKUP(C13,'REF_CS-GAR OEM'!B:B,'REF_CS-GAR OEM'!C:C)</f>
        <v>Mercedes-Benz</v>
      </c>
      <c r="C13" s="285" t="s">
        <v>71</v>
      </c>
      <c r="D13" s="71">
        <v>139.09899999999999</v>
      </c>
      <c r="E13" s="71" t="s">
        <v>314</v>
      </c>
      <c r="F13" s="71" t="s">
        <v>314</v>
      </c>
      <c r="G13" s="71">
        <v>112.0996</v>
      </c>
      <c r="H13" s="71">
        <v>141.26140000000001</v>
      </c>
      <c r="I13" s="71" t="s">
        <v>314</v>
      </c>
      <c r="J13" s="71">
        <v>156.27969999999999</v>
      </c>
      <c r="K13" s="71">
        <v>249.40799999999999</v>
      </c>
      <c r="L13" s="71">
        <v>141.35400000000001</v>
      </c>
      <c r="M13" s="71">
        <v>160.99100000000001</v>
      </c>
      <c r="N13" s="107">
        <v>50.257762148289153</v>
      </c>
    </row>
    <row r="14" spans="2:14">
      <c r="B14" s="8" t="str">
        <f>_xlfn.XLOOKUP(C14,'REF_CS-GAR OEM'!B:B,'REF_CS-GAR OEM'!C:C)</f>
        <v>Chery</v>
      </c>
      <c r="C14" s="285" t="s">
        <v>142</v>
      </c>
      <c r="D14" s="71">
        <v>136.72309999999999</v>
      </c>
      <c r="E14" s="71">
        <v>158.596</v>
      </c>
      <c r="F14" s="71" t="s">
        <v>314</v>
      </c>
      <c r="G14" s="71">
        <v>106.4474</v>
      </c>
      <c r="H14" s="71">
        <v>142.64009999999999</v>
      </c>
      <c r="I14" s="71">
        <v>172.31559999999999</v>
      </c>
      <c r="J14" s="71">
        <v>170.41919999999999</v>
      </c>
      <c r="K14" s="71" t="s">
        <v>314</v>
      </c>
      <c r="L14" s="71">
        <v>143.7313</v>
      </c>
      <c r="M14" s="71">
        <v>106.224</v>
      </c>
      <c r="N14" s="107">
        <v>45.973511675798186</v>
      </c>
    </row>
    <row r="15" spans="2:14">
      <c r="B15" s="8" t="str">
        <f>_xlfn.XLOOKUP(C15,'REF_CS-GAR OEM'!B:B,'REF_CS-GAR OEM'!C:C)</f>
        <v>Great Wall</v>
      </c>
      <c r="C15" s="285" t="s">
        <v>294</v>
      </c>
      <c r="D15" s="71">
        <v>125.4331</v>
      </c>
      <c r="E15" s="71">
        <v>147.696</v>
      </c>
      <c r="F15" s="71" t="s">
        <v>314</v>
      </c>
      <c r="G15" s="71">
        <v>115.2702</v>
      </c>
      <c r="H15" s="71" t="s">
        <v>314</v>
      </c>
      <c r="I15" s="71" t="s">
        <v>314</v>
      </c>
      <c r="J15" s="71">
        <v>151.1867</v>
      </c>
      <c r="K15" s="71" t="s">
        <v>314</v>
      </c>
      <c r="L15" s="71">
        <v>143.9691</v>
      </c>
      <c r="M15" s="71">
        <v>136.27199999999999</v>
      </c>
      <c r="N15" s="107">
        <v>45.545071769990116</v>
      </c>
    </row>
    <row r="16" spans="2:14">
      <c r="B16" s="8" t="str">
        <f>_xlfn.XLOOKUP(C16,'REF_CS-GAR OEM'!B:B,'REF_CS-GAR OEM'!C:C)</f>
        <v>Renault</v>
      </c>
      <c r="C16" s="285" t="s">
        <v>82</v>
      </c>
      <c r="D16" s="71">
        <v>139.92169999999999</v>
      </c>
      <c r="E16" s="71">
        <v>131.63810000000001</v>
      </c>
      <c r="F16" s="71">
        <v>136.36519999999999</v>
      </c>
      <c r="G16" s="71" t="s">
        <v>314</v>
      </c>
      <c r="H16" s="71">
        <v>151.6097</v>
      </c>
      <c r="I16" s="71" t="s">
        <v>314</v>
      </c>
      <c r="J16" s="71">
        <v>189.15219999999999</v>
      </c>
      <c r="K16" s="71" t="s">
        <v>314</v>
      </c>
      <c r="L16" s="71">
        <v>146.2193</v>
      </c>
      <c r="M16" s="71">
        <v>124.006</v>
      </c>
      <c r="N16" s="107">
        <v>41.490927631851562</v>
      </c>
    </row>
    <row r="17" spans="2:14">
      <c r="B17" s="8" t="str">
        <f>_xlfn.XLOOKUP(C17,'REF_CS-GAR OEM'!B:B,'REF_CS-GAR OEM'!C:C)</f>
        <v>Changan</v>
      </c>
      <c r="C17" s="285" t="s">
        <v>76</v>
      </c>
      <c r="D17" s="71">
        <v>149.85339999999999</v>
      </c>
      <c r="E17" s="71" t="s">
        <v>314</v>
      </c>
      <c r="F17" s="71">
        <v>135.18600000000001</v>
      </c>
      <c r="G17" s="71">
        <v>106.40649999999999</v>
      </c>
      <c r="H17" s="71">
        <v>151.3126</v>
      </c>
      <c r="I17" s="71">
        <v>169.4855</v>
      </c>
      <c r="J17" s="71">
        <v>163.42439999999999</v>
      </c>
      <c r="K17" s="71" t="s">
        <v>314</v>
      </c>
      <c r="L17" s="71">
        <v>147.71690000000001</v>
      </c>
      <c r="M17" s="71">
        <v>120.08499999999999</v>
      </c>
      <c r="N17" s="107">
        <v>38.792729133373079</v>
      </c>
    </row>
    <row r="18" spans="2:14">
      <c r="B18" s="8" t="str">
        <f>_xlfn.XLOOKUP(C18,'REF_CS-GAR OEM'!B:B,'REF_CS-GAR OEM'!C:C)</f>
        <v>Geely</v>
      </c>
      <c r="C18" s="285" t="s">
        <v>72</v>
      </c>
      <c r="D18" s="71">
        <v>133.2165</v>
      </c>
      <c r="E18" s="71" t="s">
        <v>314</v>
      </c>
      <c r="F18" s="71">
        <v>146.91210000000001</v>
      </c>
      <c r="G18" s="71">
        <v>147.04419999999999</v>
      </c>
      <c r="H18" s="71">
        <v>147.9315</v>
      </c>
      <c r="I18" s="71">
        <v>182.5598</v>
      </c>
      <c r="J18" s="71">
        <v>211.14250000000001</v>
      </c>
      <c r="K18" s="71" t="s">
        <v>314</v>
      </c>
      <c r="L18" s="71">
        <v>148.87260000000001</v>
      </c>
      <c r="M18" s="71">
        <v>149.226</v>
      </c>
      <c r="N18" s="107">
        <v>36.710525604599326</v>
      </c>
    </row>
    <row r="19" spans="2:14">
      <c r="B19" s="8" t="str">
        <f>_xlfn.XLOOKUP(C19,'REF_CS-GAR OEM'!B:B,'REF_CS-GAR OEM'!C:C)</f>
        <v>Honda</v>
      </c>
      <c r="C19" s="285" t="s">
        <v>89</v>
      </c>
      <c r="D19" s="71">
        <v>165.34549999999999</v>
      </c>
      <c r="E19" s="71" t="s">
        <v>314</v>
      </c>
      <c r="F19" s="71" t="s">
        <v>314</v>
      </c>
      <c r="G19" s="71" t="s">
        <v>314</v>
      </c>
      <c r="H19" s="71">
        <v>148.5395</v>
      </c>
      <c r="I19" s="71" t="s">
        <v>314</v>
      </c>
      <c r="J19" s="71" t="s">
        <v>314</v>
      </c>
      <c r="K19" s="71" t="s">
        <v>314</v>
      </c>
      <c r="L19" s="71">
        <v>149.90119999999999</v>
      </c>
      <c r="M19" s="71">
        <v>145.898</v>
      </c>
      <c r="N19" s="107">
        <v>34.857315818585093</v>
      </c>
    </row>
    <row r="20" spans="2:14">
      <c r="B20" s="8" t="str">
        <f>_xlfn.XLOOKUP(C20,'REF_CS-GAR OEM'!B:B,'REF_CS-GAR OEM'!C:C)</f>
        <v>Stellantis</v>
      </c>
      <c r="C20" s="285" t="s">
        <v>74</v>
      </c>
      <c r="D20" s="71">
        <v>139.4246</v>
      </c>
      <c r="E20" s="71">
        <v>135.15469999999999</v>
      </c>
      <c r="F20" s="71">
        <v>138.43049999999999</v>
      </c>
      <c r="G20" s="71" t="s">
        <v>314</v>
      </c>
      <c r="H20" s="71">
        <v>154.15379999999999</v>
      </c>
      <c r="I20" s="71">
        <v>213.72730000000001</v>
      </c>
      <c r="J20" s="71">
        <v>195.9967</v>
      </c>
      <c r="K20" s="71">
        <v>311.38940000000002</v>
      </c>
      <c r="L20" s="71">
        <v>152.01849999999999</v>
      </c>
      <c r="M20" s="71">
        <v>140.816</v>
      </c>
      <c r="N20" s="107">
        <v>31.04261517700624</v>
      </c>
    </row>
    <row r="21" spans="2:14">
      <c r="B21" s="8" t="str">
        <f>_xlfn.XLOOKUP(C21,'REF_CS-GAR OEM'!B:B,'REF_CS-GAR OEM'!C:C)</f>
        <v>Hyundai Kia</v>
      </c>
      <c r="C21" s="285" t="s">
        <v>191</v>
      </c>
      <c r="D21" s="71" t="s">
        <v>314</v>
      </c>
      <c r="E21" s="71">
        <v>176.6232</v>
      </c>
      <c r="F21" s="71" t="s">
        <v>314</v>
      </c>
      <c r="G21" s="71">
        <v>113.2993</v>
      </c>
      <c r="H21" s="71">
        <v>137.4153</v>
      </c>
      <c r="I21" s="71" t="s">
        <v>314</v>
      </c>
      <c r="J21" s="71">
        <v>314.28489999999999</v>
      </c>
      <c r="K21" s="71" t="s">
        <v>314</v>
      </c>
      <c r="L21" s="71">
        <v>154.57259999999999</v>
      </c>
      <c r="M21" s="71">
        <v>162.62200000000001</v>
      </c>
      <c r="N21" s="107">
        <v>26.440939973371158</v>
      </c>
    </row>
    <row r="22" spans="2:14">
      <c r="B22" s="8" t="str">
        <f>_xlfn.XLOOKUP(C22,'REF_CS-GAR OEM'!B:B,'REF_CS-GAR OEM'!C:C)</f>
        <v>Ford</v>
      </c>
      <c r="C22" s="285" t="s">
        <v>80</v>
      </c>
      <c r="D22" s="71" t="s">
        <v>314</v>
      </c>
      <c r="E22" s="71" t="s">
        <v>314</v>
      </c>
      <c r="F22" s="71" t="s">
        <v>314</v>
      </c>
      <c r="G22" s="71" t="s">
        <v>314</v>
      </c>
      <c r="H22" s="134">
        <v>131</v>
      </c>
      <c r="I22" s="135" t="s">
        <v>300</v>
      </c>
      <c r="J22" s="135" t="s">
        <v>300</v>
      </c>
      <c r="K22" s="136">
        <v>195</v>
      </c>
      <c r="L22" s="316">
        <v>156.45099999999999</v>
      </c>
      <c r="M22" s="136">
        <v>186</v>
      </c>
      <c r="N22" s="284">
        <v>23</v>
      </c>
    </row>
    <row r="23" spans="2:14">
      <c r="B23" s="8" t="str">
        <f>_xlfn.XLOOKUP(C23,'REF_CS-GAR OEM'!B:B,'REF_CS-GAR OEM'!C:C)</f>
        <v>Nissan</v>
      </c>
      <c r="C23" s="285" t="s">
        <v>91</v>
      </c>
      <c r="D23" s="71" t="s">
        <v>314</v>
      </c>
      <c r="E23" s="71">
        <v>157.33330000000001</v>
      </c>
      <c r="F23" s="71" t="s">
        <v>314</v>
      </c>
      <c r="G23" s="71" t="s">
        <v>314</v>
      </c>
      <c r="H23" s="71">
        <v>161.22059999999999</v>
      </c>
      <c r="I23" s="71" t="s">
        <v>314</v>
      </c>
      <c r="J23" s="71" t="s">
        <v>314</v>
      </c>
      <c r="K23" s="71">
        <v>137.86770000000001</v>
      </c>
      <c r="L23" s="71">
        <v>159.23089999999999</v>
      </c>
      <c r="M23" s="71">
        <v>150.92400000000001</v>
      </c>
      <c r="N23" s="107">
        <v>18.048166158292169</v>
      </c>
    </row>
    <row r="24" spans="2:14">
      <c r="B24" s="8" t="str">
        <f>_xlfn.XLOOKUP(C24,'REF_CS-GAR OEM'!B:B,'REF_CS-GAR OEM'!C:C)</f>
        <v>Mazda</v>
      </c>
      <c r="C24" s="285" t="s">
        <v>97</v>
      </c>
      <c r="D24" s="71" t="s">
        <v>314</v>
      </c>
      <c r="E24" s="71" t="s">
        <v>314</v>
      </c>
      <c r="F24" s="71" t="s">
        <v>314</v>
      </c>
      <c r="G24" s="71" t="s">
        <v>314</v>
      </c>
      <c r="H24" s="71">
        <v>169.2483</v>
      </c>
      <c r="I24" s="71" t="s">
        <v>314</v>
      </c>
      <c r="J24" s="71" t="s">
        <v>314</v>
      </c>
      <c r="K24" s="71" t="s">
        <v>314</v>
      </c>
      <c r="L24" s="71">
        <v>169.2483</v>
      </c>
      <c r="M24" s="71">
        <v>168.62899999999999</v>
      </c>
      <c r="N24" s="107">
        <v>0</v>
      </c>
    </row>
    <row r="25" spans="2:14">
      <c r="B25" s="8" t="str">
        <f>_xlfn.XLOOKUP(C25,'REF_CS-GAR OEM'!B:B,'REF_CS-GAR OEM'!C:C)</f>
        <v>Suzuki</v>
      </c>
      <c r="C25" s="9" t="s">
        <v>99</v>
      </c>
      <c r="D25" s="94"/>
      <c r="E25" s="94"/>
      <c r="F25" s="94"/>
      <c r="G25" s="94"/>
      <c r="H25" s="94"/>
      <c r="I25" s="94"/>
      <c r="J25" s="94"/>
      <c r="K25" s="94"/>
      <c r="L25" s="94"/>
      <c r="M25" s="94"/>
      <c r="N25" s="94"/>
    </row>
  </sheetData>
  <sheetProtection algorithmName="SHA-512" hashValue="i8NO4cGC3jEluX6brSnUNEou7anvEmQtXfv5/1ySRRiyX80vtt437cUF/8aHSzOv8w2wwBBk0SM5Cyaxo9+etQ==" saltValue="FfoGbWqRs0Fx0aVqugpz/A==" spinCount="100000" sheet="1" objects="1" scenarios="1" selectLockedCells="1" selectUnlockedCells="1"/>
  <mergeCells count="6">
    <mergeCell ref="N3:N4"/>
    <mergeCell ref="C3:C4"/>
    <mergeCell ref="D3:H3"/>
    <mergeCell ref="I3:K3"/>
    <mergeCell ref="L3:L4"/>
    <mergeCell ref="M3:M4"/>
  </mergeCells>
  <phoneticPr fontId="2" type="noConversion"/>
  <conditionalFormatting sqref="C5:J21 C22:G22 C23:J24">
    <cfRule type="containsBlanks" dxfId="2" priority="2">
      <formula>LEN(TRIM(C5))=0</formula>
    </cfRule>
  </conditionalFormatting>
  <conditionalFormatting sqref="C25:N25">
    <cfRule type="containsBlanks" dxfId="1" priority="1">
      <formula>LEN(TRIM(C25))=0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29FD3-B224-5440-8FD5-B2B0ABB68787}">
  <sheetPr>
    <tabColor rgb="FFC9ECE6"/>
  </sheetPr>
  <dimension ref="B1:I42"/>
  <sheetViews>
    <sheetView zoomScale="70" zoomScaleNormal="70" workbookViewId="0">
      <selection activeCell="L39" sqref="L39"/>
    </sheetView>
  </sheetViews>
  <sheetFormatPr baseColWidth="10" defaultColWidth="11" defaultRowHeight="16"/>
  <cols>
    <col min="1" max="1" width="4" customWidth="1"/>
    <col min="2" max="2" width="0" hidden="1" customWidth="1"/>
    <col min="4" max="5" width="11" customWidth="1"/>
    <col min="6" max="6" width="11.33203125" customWidth="1"/>
    <col min="8" max="8" width="15.33203125" customWidth="1"/>
  </cols>
  <sheetData>
    <row r="1" spans="2:9">
      <c r="C1" s="12" t="s">
        <v>319</v>
      </c>
    </row>
    <row r="3" spans="2:9" ht="32.25" customHeight="1">
      <c r="B3" s="317" t="s">
        <v>302</v>
      </c>
      <c r="C3" s="514" t="s">
        <v>36</v>
      </c>
      <c r="D3" s="515" t="s">
        <v>315</v>
      </c>
      <c r="E3" s="515"/>
      <c r="F3" s="515" t="s">
        <v>316</v>
      </c>
      <c r="G3" s="515"/>
      <c r="H3" s="516" t="s">
        <v>580</v>
      </c>
      <c r="I3" s="516" t="s">
        <v>288</v>
      </c>
    </row>
    <row r="4" spans="2:9" ht="17" customHeight="1">
      <c r="B4" t="s">
        <v>36</v>
      </c>
      <c r="C4" s="514"/>
      <c r="D4" s="93" t="s">
        <v>317</v>
      </c>
      <c r="E4" s="93" t="s">
        <v>318</v>
      </c>
      <c r="F4" s="93" t="s">
        <v>317</v>
      </c>
      <c r="G4" s="93" t="s">
        <v>318</v>
      </c>
      <c r="H4" s="517"/>
      <c r="I4" s="517"/>
    </row>
    <row r="5" spans="2:9">
      <c r="B5" t="str">
        <f>_xlfn.XLOOKUP(C5,'REF_CS-GAR OEM'!B:B,'REF_CS-GAR OEM'!C:C)</f>
        <v>Tesla</v>
      </c>
      <c r="C5" s="285" t="s">
        <v>61</v>
      </c>
      <c r="D5" s="391" t="s">
        <v>314</v>
      </c>
      <c r="E5" s="95">
        <v>172</v>
      </c>
      <c r="F5" s="89" t="s">
        <v>314</v>
      </c>
      <c r="G5" s="89">
        <v>1</v>
      </c>
      <c r="H5" s="107">
        <v>172</v>
      </c>
      <c r="I5" s="107">
        <v>100</v>
      </c>
    </row>
    <row r="6" spans="2:9">
      <c r="B6" t="str">
        <f>_xlfn.XLOOKUP(C6,'REF_CS-GAR OEM'!B:B,'REF_CS-GAR OEM'!C:C)</f>
        <v>Hyundai Kia</v>
      </c>
      <c r="C6" s="285" t="s">
        <v>191</v>
      </c>
      <c r="D6" s="391" t="s">
        <v>314</v>
      </c>
      <c r="E6" s="95">
        <v>139.40600000000001</v>
      </c>
      <c r="F6" s="89" t="s">
        <v>314</v>
      </c>
      <c r="G6" s="89">
        <v>1</v>
      </c>
      <c r="H6" s="107">
        <v>139.40600000000001</v>
      </c>
      <c r="I6" s="107">
        <v>78.835064935064935</v>
      </c>
    </row>
    <row r="7" spans="2:9">
      <c r="B7" t="str">
        <f>_xlfn.XLOOKUP(C7,'REF_CS-GAR OEM'!B:B,'REF_CS-GAR OEM'!C:C)</f>
        <v>BMW</v>
      </c>
      <c r="C7" s="285" t="s">
        <v>65</v>
      </c>
      <c r="D7" s="391" t="s">
        <v>314</v>
      </c>
      <c r="E7" s="95">
        <v>101.58</v>
      </c>
      <c r="F7" s="89" t="s">
        <v>314</v>
      </c>
      <c r="G7" s="89">
        <v>1</v>
      </c>
      <c r="H7" s="107">
        <v>101.58</v>
      </c>
      <c r="I7" s="107">
        <v>54.272727272727273</v>
      </c>
    </row>
    <row r="8" spans="2:9">
      <c r="B8" t="str">
        <f>_xlfn.XLOOKUP(C8,'REF_CS-GAR OEM'!B:B,'REF_CS-GAR OEM'!C:C)</f>
        <v>VW</v>
      </c>
      <c r="C8" s="285" t="s">
        <v>69</v>
      </c>
      <c r="D8" s="391" t="s">
        <v>314</v>
      </c>
      <c r="E8" s="95">
        <v>94.761700000000005</v>
      </c>
      <c r="F8" s="89" t="s">
        <v>314</v>
      </c>
      <c r="G8" s="89">
        <v>1</v>
      </c>
      <c r="H8" s="107">
        <v>94.761700000000005</v>
      </c>
      <c r="I8" s="107">
        <v>49.845259740259742</v>
      </c>
    </row>
    <row r="9" spans="2:9">
      <c r="B9" t="str">
        <f>_xlfn.XLOOKUP(C9,'REF_CS-GAR OEM'!B:B,'REF_CS-GAR OEM'!C:C)</f>
        <v>Ford</v>
      </c>
      <c r="C9" s="285" t="s">
        <v>80</v>
      </c>
      <c r="D9" s="391" t="s">
        <v>314</v>
      </c>
      <c r="E9" s="95">
        <v>91.399500000000003</v>
      </c>
      <c r="F9" s="89" t="s">
        <v>314</v>
      </c>
      <c r="G9" s="89">
        <v>1</v>
      </c>
      <c r="H9" s="107">
        <v>91.399500000000003</v>
      </c>
      <c r="I9" s="107">
        <v>47.662012987012993</v>
      </c>
    </row>
    <row r="10" spans="2:9">
      <c r="B10" t="str">
        <f>_xlfn.XLOOKUP(C10,'REF_CS-GAR OEM'!B:B,'REF_CS-GAR OEM'!C:C)</f>
        <v>Mercedes-Benz</v>
      </c>
      <c r="C10" s="285" t="s">
        <v>71</v>
      </c>
      <c r="D10" s="391">
        <v>5</v>
      </c>
      <c r="E10" s="95">
        <v>89.336100000000002</v>
      </c>
      <c r="F10" s="89">
        <v>6.3306662306409939E-2</v>
      </c>
      <c r="G10" s="89">
        <v>0.93669333769359009</v>
      </c>
      <c r="H10" s="107">
        <v>83.997</v>
      </c>
      <c r="I10" s="107">
        <v>42.855194805194806</v>
      </c>
    </row>
    <row r="11" spans="2:9">
      <c r="B11" t="str">
        <f>_xlfn.XLOOKUP(C11,'REF_CS-GAR OEM'!B:B,'REF_CS-GAR OEM'!C:C)</f>
        <v>Geely</v>
      </c>
      <c r="C11" s="285" t="s">
        <v>72</v>
      </c>
      <c r="D11" s="391" t="s">
        <v>314</v>
      </c>
      <c r="E11" s="448">
        <v>72.342100000000002</v>
      </c>
      <c r="F11" s="89" t="s">
        <v>314</v>
      </c>
      <c r="G11" s="89">
        <v>1</v>
      </c>
      <c r="H11" s="107">
        <v>72.342100000000002</v>
      </c>
      <c r="I11" s="107">
        <v>35.287077922077927</v>
      </c>
    </row>
    <row r="12" spans="2:9">
      <c r="B12" t="str">
        <f>_xlfn.XLOOKUP(C12,'REF_CS-GAR OEM'!B:B,'REF_CS-GAR OEM'!C:C)</f>
        <v>Toyota</v>
      </c>
      <c r="C12" s="285" t="s">
        <v>77</v>
      </c>
      <c r="D12" s="391">
        <v>1.6477299999999999</v>
      </c>
      <c r="E12" s="448">
        <v>67.985100000000003</v>
      </c>
      <c r="F12" s="89">
        <v>4.8532445042521041E-3</v>
      </c>
      <c r="G12" s="89">
        <v>0.99514675549574794</v>
      </c>
      <c r="H12" s="107">
        <v>67.6631</v>
      </c>
      <c r="I12" s="107">
        <v>32.248766233766233</v>
      </c>
    </row>
    <row r="13" spans="2:9">
      <c r="B13" t="str">
        <f>_xlfn.XLOOKUP(C13,'REF_CS-GAR OEM'!B:B,'REF_CS-GAR OEM'!C:C)</f>
        <v>Stellantis</v>
      </c>
      <c r="C13" s="285" t="s">
        <v>74</v>
      </c>
      <c r="D13" s="455">
        <v>1.6305700000000001</v>
      </c>
      <c r="E13" s="95">
        <v>69.181899999999999</v>
      </c>
      <c r="F13" s="89">
        <v>5.2447734737500654E-2</v>
      </c>
      <c r="G13" s="89">
        <v>0.94755226526249936</v>
      </c>
      <c r="H13" s="107">
        <v>65.638999999999996</v>
      </c>
      <c r="I13" s="107">
        <v>30.934415584415582</v>
      </c>
    </row>
    <row r="14" spans="2:9">
      <c r="B14" t="str">
        <f>_xlfn.XLOOKUP(C14,'REF_CS-GAR OEM'!B:B,'REF_CS-GAR OEM'!C:C)</f>
        <v>GM</v>
      </c>
      <c r="C14" s="285" t="s">
        <v>70</v>
      </c>
      <c r="D14" s="391" t="s">
        <v>314</v>
      </c>
      <c r="E14" s="95">
        <v>62.670400000000001</v>
      </c>
      <c r="F14" s="89" t="s">
        <v>314</v>
      </c>
      <c r="G14" s="89">
        <v>1</v>
      </c>
      <c r="H14" s="107">
        <v>62.670400000000001</v>
      </c>
      <c r="I14" s="107">
        <v>29.006753246753249</v>
      </c>
    </row>
    <row r="15" spans="2:9">
      <c r="B15" t="str">
        <f>_xlfn.XLOOKUP(C15,'REF_CS-GAR OEM'!B:B,'REF_CS-GAR OEM'!C:C)</f>
        <v>Honda</v>
      </c>
      <c r="C15" s="285" t="s">
        <v>89</v>
      </c>
      <c r="D15" s="391" t="s">
        <v>314</v>
      </c>
      <c r="E15" s="95">
        <v>58.454599999999999</v>
      </c>
      <c r="F15" s="89" t="s">
        <v>314</v>
      </c>
      <c r="G15" s="89">
        <v>1</v>
      </c>
      <c r="H15" s="107">
        <v>58.454599999999999</v>
      </c>
      <c r="I15" s="107">
        <v>26.269220779220781</v>
      </c>
    </row>
    <row r="16" spans="2:9">
      <c r="B16" t="str">
        <f>_xlfn.XLOOKUP(C16,'REF_CS-GAR OEM'!B:B,'REF_CS-GAR OEM'!C:C)</f>
        <v>BYD</v>
      </c>
      <c r="C16" s="285" t="s">
        <v>64</v>
      </c>
      <c r="D16" s="391">
        <v>5</v>
      </c>
      <c r="E16" s="95">
        <v>57.319499999999998</v>
      </c>
      <c r="F16" s="89">
        <v>4.3470242842929595E-3</v>
      </c>
      <c r="G16" s="89">
        <v>0.99565297571570699</v>
      </c>
      <c r="H16" s="107">
        <v>57.092100000000002</v>
      </c>
      <c r="I16" s="107">
        <v>25.384480519480523</v>
      </c>
    </row>
    <row r="17" spans="2:9">
      <c r="B17" t="str">
        <f>_xlfn.XLOOKUP(C17,'REF_CS-GAR OEM'!B:B,'REF_CS-GAR OEM'!C:C)</f>
        <v>Nissan</v>
      </c>
      <c r="C17" s="285" t="s">
        <v>91</v>
      </c>
      <c r="D17" s="391" t="s">
        <v>314</v>
      </c>
      <c r="E17" s="95">
        <v>51.499899999999997</v>
      </c>
      <c r="F17" s="89" t="s">
        <v>314</v>
      </c>
      <c r="G17" s="89">
        <v>1</v>
      </c>
      <c r="H17" s="107">
        <v>51.499899999999997</v>
      </c>
      <c r="I17" s="107">
        <v>21.753181818181815</v>
      </c>
    </row>
    <row r="18" spans="2:9">
      <c r="B18" t="str">
        <f>_xlfn.XLOOKUP(C18,'REF_CS-GAR OEM'!B:B,'REF_CS-GAR OEM'!C:C)</f>
        <v>Mazda</v>
      </c>
      <c r="C18" s="285" t="s">
        <v>97</v>
      </c>
      <c r="D18" s="391" t="s">
        <v>314</v>
      </c>
      <c r="E18" s="95">
        <v>46.964599999999997</v>
      </c>
      <c r="F18" s="89" t="s">
        <v>314</v>
      </c>
      <c r="G18" s="89">
        <v>1</v>
      </c>
      <c r="H18" s="107">
        <v>46.964599999999997</v>
      </c>
      <c r="I18" s="107">
        <v>18.808181818181815</v>
      </c>
    </row>
    <row r="19" spans="2:9">
      <c r="B19" t="str">
        <f>_xlfn.XLOOKUP(C19,'REF_CS-GAR OEM'!B:B,'REF_CS-GAR OEM'!C:C)</f>
        <v>Great Wall</v>
      </c>
      <c r="C19" s="285" t="s">
        <v>294</v>
      </c>
      <c r="D19" s="391" t="s">
        <v>314</v>
      </c>
      <c r="E19" s="95">
        <v>45.955399999999997</v>
      </c>
      <c r="F19" s="89" t="s">
        <v>314</v>
      </c>
      <c r="G19" s="89">
        <v>1</v>
      </c>
      <c r="H19" s="107">
        <v>45.955399999999997</v>
      </c>
      <c r="I19" s="107">
        <v>18.15285714285714</v>
      </c>
    </row>
    <row r="20" spans="2:9">
      <c r="B20" t="str">
        <f>_xlfn.XLOOKUP(C20,'REF_CS-GAR OEM'!B:B,'REF_CS-GAR OEM'!C:C)</f>
        <v>Renault</v>
      </c>
      <c r="C20" s="285" t="s">
        <v>82</v>
      </c>
      <c r="D20" s="391">
        <v>2</v>
      </c>
      <c r="E20" s="95">
        <v>41.552999999999997</v>
      </c>
      <c r="F20" s="89">
        <v>6.7372041244522006E-4</v>
      </c>
      <c r="G20" s="89">
        <v>0.99932627958755482</v>
      </c>
      <c r="H20" s="107">
        <v>41.526400000000002</v>
      </c>
      <c r="I20" s="107">
        <v>15.27688311688312</v>
      </c>
    </row>
    <row r="21" spans="2:9">
      <c r="B21" t="str">
        <f>_xlfn.XLOOKUP(C21,'REF_CS-GAR OEM'!B:B,'REF_CS-GAR OEM'!C:C)</f>
        <v>SAIC</v>
      </c>
      <c r="C21" s="285" t="s">
        <v>68</v>
      </c>
      <c r="D21" s="391">
        <v>7.8820199999999998</v>
      </c>
      <c r="E21" s="95">
        <v>58.407899999999998</v>
      </c>
      <c r="F21" s="89">
        <v>0.40987020720271905</v>
      </c>
      <c r="G21" s="89">
        <v>0.59012979279728095</v>
      </c>
      <c r="H21" s="107">
        <v>37.698900000000002</v>
      </c>
      <c r="I21" s="107">
        <v>12.791493506493506</v>
      </c>
    </row>
    <row r="22" spans="2:9">
      <c r="B22" t="str">
        <f>_xlfn.XLOOKUP(C22,'REF_CS-GAR OEM'!B:B,'REF_CS-GAR OEM'!C:C)</f>
        <v>Changan</v>
      </c>
      <c r="C22" s="285" t="s">
        <v>76</v>
      </c>
      <c r="D22" s="391">
        <v>4</v>
      </c>
      <c r="E22" s="95">
        <v>26.285699999999999</v>
      </c>
      <c r="F22" s="89">
        <v>2.1118757651282E-3</v>
      </c>
      <c r="G22" s="89">
        <v>0.99788812423487183</v>
      </c>
      <c r="H22" s="107">
        <v>26.238600000000002</v>
      </c>
      <c r="I22" s="107">
        <v>5.349740259740261</v>
      </c>
    </row>
    <row r="23" spans="2:9">
      <c r="B23" t="str">
        <f>_xlfn.XLOOKUP(C23,'REF_CS-GAR OEM'!B:B,'REF_CS-GAR OEM'!C:C)</f>
        <v>Tata Motors</v>
      </c>
      <c r="C23" s="285" t="s">
        <v>295</v>
      </c>
      <c r="D23" s="391" t="s">
        <v>314</v>
      </c>
      <c r="E23" s="95">
        <v>25.9039</v>
      </c>
      <c r="F23" s="89" t="s">
        <v>314</v>
      </c>
      <c r="G23" s="89">
        <v>1</v>
      </c>
      <c r="H23" s="107">
        <v>25.9039</v>
      </c>
      <c r="I23" s="107">
        <v>5.1324025974025975</v>
      </c>
    </row>
    <row r="24" spans="2:9">
      <c r="B24" t="str">
        <f>_xlfn.XLOOKUP(C24,'REF_CS-GAR OEM'!B:B,'REF_CS-GAR OEM'!C:C)</f>
        <v>Chery</v>
      </c>
      <c r="C24" s="285" t="s">
        <v>142</v>
      </c>
      <c r="D24" s="391">
        <v>11</v>
      </c>
      <c r="E24" s="95">
        <v>24.111699999999999</v>
      </c>
      <c r="F24" s="89">
        <v>2.2457262543128548E-2</v>
      </c>
      <c r="G24" s="89">
        <v>0.97754273745687148</v>
      </c>
      <c r="H24" s="107">
        <v>23.8172</v>
      </c>
      <c r="I24" s="107">
        <v>3.7774025974025975</v>
      </c>
    </row>
    <row r="25" spans="2:9">
      <c r="B25" t="str">
        <f>_xlfn.XLOOKUP(C25,'REF_CS-GAR OEM'!B:B,'REF_CS-GAR OEM'!C:C)</f>
        <v>Suzuki</v>
      </c>
      <c r="C25" s="285" t="s">
        <v>99</v>
      </c>
      <c r="D25" s="130"/>
      <c r="E25" s="130"/>
      <c r="F25" s="95"/>
      <c r="G25" s="95"/>
      <c r="H25" s="71"/>
      <c r="I25" s="71"/>
    </row>
    <row r="30" spans="2:9">
      <c r="E30" s="447"/>
    </row>
    <row r="31" spans="2:9">
      <c r="E31" s="447"/>
    </row>
    <row r="32" spans="2:9">
      <c r="E32" s="447"/>
    </row>
    <row r="33" spans="5:5">
      <c r="E33" s="447"/>
    </row>
    <row r="34" spans="5:5">
      <c r="E34" s="447"/>
    </row>
    <row r="35" spans="5:5">
      <c r="E35" s="447"/>
    </row>
    <row r="36" spans="5:5">
      <c r="E36" s="447"/>
    </row>
    <row r="37" spans="5:5">
      <c r="E37" s="447"/>
    </row>
    <row r="38" spans="5:5">
      <c r="E38" s="447"/>
    </row>
    <row r="39" spans="5:5">
      <c r="E39" s="447"/>
    </row>
    <row r="40" spans="5:5">
      <c r="E40" s="447"/>
    </row>
    <row r="41" spans="5:5">
      <c r="E41" s="447"/>
    </row>
    <row r="42" spans="5:5">
      <c r="E42" s="447"/>
    </row>
  </sheetData>
  <sheetProtection algorithmName="SHA-512" hashValue="eAnnl3KgUQYhEewz/btU8YCkXgoXG2cFc3KvYm4O78qBKga+rspZl0vSjbmlqH+TK5ZhqGSVRb+rzfgcAxefhg==" saltValue="rrnRBDeQyXjwUqdY5urOmA==" spinCount="100000" sheet="1" objects="1" scenarios="1" selectLockedCells="1" selectUnlockedCells="1"/>
  <mergeCells count="5">
    <mergeCell ref="C3:C4"/>
    <mergeCell ref="D3:E3"/>
    <mergeCell ref="F3:G3"/>
    <mergeCell ref="H3:H4"/>
    <mergeCell ref="I3:I4"/>
  </mergeCells>
  <phoneticPr fontId="2" type="noConversion"/>
  <conditionalFormatting sqref="C5:I25">
    <cfRule type="containsBlanks" dxfId="0" priority="2">
      <formula>LEN(TRIM(C5))=0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306EC-E792-7E43-B5AE-3128D9F5C23B}">
  <sheetPr>
    <tabColor rgb="FFC9ECE6"/>
  </sheetPr>
  <dimension ref="B1:M25"/>
  <sheetViews>
    <sheetView zoomScale="70" zoomScaleNormal="70" workbookViewId="0">
      <selection activeCell="Z44" sqref="Z44"/>
    </sheetView>
  </sheetViews>
  <sheetFormatPr baseColWidth="10" defaultColWidth="11" defaultRowHeight="16"/>
  <cols>
    <col min="1" max="1" width="5.5" customWidth="1"/>
    <col min="2" max="2" width="0" hidden="1" customWidth="1"/>
    <col min="3" max="3" width="15.5" customWidth="1"/>
    <col min="12" max="12" width="16.1640625" customWidth="1"/>
  </cols>
  <sheetData>
    <row r="1" spans="2:13">
      <c r="C1" s="58" t="s">
        <v>319</v>
      </c>
      <c r="M1" s="58"/>
    </row>
    <row r="2" spans="2:13">
      <c r="M2" s="58"/>
    </row>
    <row r="3" spans="2:13" ht="16" customHeight="1">
      <c r="B3" s="317" t="s">
        <v>302</v>
      </c>
      <c r="C3" s="514" t="s">
        <v>36</v>
      </c>
      <c r="D3" s="515" t="s">
        <v>320</v>
      </c>
      <c r="E3" s="515"/>
      <c r="F3" s="515"/>
      <c r="G3" s="515"/>
      <c r="H3" s="515"/>
      <c r="I3" s="515" t="s">
        <v>321</v>
      </c>
      <c r="J3" s="515"/>
      <c r="K3" s="515"/>
      <c r="L3" s="515" t="s">
        <v>581</v>
      </c>
      <c r="M3" s="515" t="s">
        <v>288</v>
      </c>
    </row>
    <row r="4" spans="2:13" ht="34" customHeight="1">
      <c r="B4" t="s">
        <v>36</v>
      </c>
      <c r="C4" s="514"/>
      <c r="D4" s="93" t="s">
        <v>307</v>
      </c>
      <c r="E4" s="93" t="s">
        <v>308</v>
      </c>
      <c r="F4" s="93" t="s">
        <v>309</v>
      </c>
      <c r="G4" s="93" t="s">
        <v>310</v>
      </c>
      <c r="H4" s="93" t="s">
        <v>311</v>
      </c>
      <c r="I4" s="93" t="s">
        <v>312</v>
      </c>
      <c r="J4" s="93" t="s">
        <v>313</v>
      </c>
      <c r="K4" s="93" t="s">
        <v>310</v>
      </c>
      <c r="L4" s="515"/>
      <c r="M4" s="515"/>
    </row>
    <row r="5" spans="2:13">
      <c r="B5" t="str">
        <f>_xlfn.XLOOKUP(C5,'REF_CS-GAR OEM'!B:B,'REF_CS-GAR OEM'!C:C)</f>
        <v>Tesla</v>
      </c>
      <c r="C5" s="132" t="s">
        <v>61</v>
      </c>
      <c r="D5" s="135" t="s">
        <v>300</v>
      </c>
      <c r="E5" s="135" t="s">
        <v>300</v>
      </c>
      <c r="F5" s="136">
        <v>607</v>
      </c>
      <c r="G5" s="136">
        <v>663</v>
      </c>
      <c r="H5" s="136">
        <v>492</v>
      </c>
      <c r="I5" s="135" t="s">
        <v>300</v>
      </c>
      <c r="J5" s="135" t="s">
        <v>300</v>
      </c>
      <c r="K5" s="135" t="s">
        <v>300</v>
      </c>
      <c r="L5" s="316">
        <v>527.46299999999997</v>
      </c>
      <c r="M5" s="319">
        <v>100</v>
      </c>
    </row>
    <row r="6" spans="2:13" ht="17">
      <c r="B6" t="str">
        <f>_xlfn.XLOOKUP(C6,'REF_CS-GAR OEM'!B:B,'REF_CS-GAR OEM'!C:C)</f>
        <v>BMW</v>
      </c>
      <c r="C6" s="109" t="s">
        <v>65</v>
      </c>
      <c r="D6" s="320">
        <v>401</v>
      </c>
      <c r="E6" s="321" t="s">
        <v>300</v>
      </c>
      <c r="F6" s="322">
        <v>555</v>
      </c>
      <c r="G6" s="322">
        <v>532</v>
      </c>
      <c r="H6" s="322">
        <v>474</v>
      </c>
      <c r="I6" s="321" t="s">
        <v>300</v>
      </c>
      <c r="J6" s="321" t="s">
        <v>300</v>
      </c>
      <c r="K6" s="321" t="s">
        <v>300</v>
      </c>
      <c r="L6" s="282">
        <v>495</v>
      </c>
      <c r="M6" s="320">
        <v>90</v>
      </c>
    </row>
    <row r="7" spans="2:13">
      <c r="B7" t="str">
        <f>_xlfn.XLOOKUP(C7,'REF_CS-GAR OEM'!B:B,'REF_CS-GAR OEM'!C:C)</f>
        <v>VW</v>
      </c>
      <c r="C7" s="109" t="s">
        <v>69</v>
      </c>
      <c r="D7" s="323">
        <v>502</v>
      </c>
      <c r="E7" s="282">
        <v>455</v>
      </c>
      <c r="F7" s="135" t="s">
        <v>300</v>
      </c>
      <c r="G7" s="282">
        <v>441</v>
      </c>
      <c r="H7" s="282">
        <v>496</v>
      </c>
      <c r="I7" s="135" t="s">
        <v>300</v>
      </c>
      <c r="J7" s="135" t="s">
        <v>300</v>
      </c>
      <c r="K7" s="282">
        <v>391</v>
      </c>
      <c r="L7" s="282">
        <v>483</v>
      </c>
      <c r="M7" s="320">
        <v>87</v>
      </c>
    </row>
    <row r="8" spans="2:13" ht="17">
      <c r="B8" t="str">
        <f>_xlfn.XLOOKUP(C8,'REF_CS-GAR OEM'!B:B,'REF_CS-GAR OEM'!C:C)</f>
        <v>Mercedes-Benz</v>
      </c>
      <c r="C8" s="109" t="s">
        <v>71</v>
      </c>
      <c r="D8" s="320">
        <v>160</v>
      </c>
      <c r="E8" s="321" t="s">
        <v>300</v>
      </c>
      <c r="F8" s="321" t="s">
        <v>300</v>
      </c>
      <c r="G8" s="322">
        <v>683</v>
      </c>
      <c r="H8" s="282">
        <v>463</v>
      </c>
      <c r="I8" s="135" t="s">
        <v>300</v>
      </c>
      <c r="J8" s="282">
        <v>282</v>
      </c>
      <c r="K8" s="282">
        <v>208</v>
      </c>
      <c r="L8" s="282">
        <v>469</v>
      </c>
      <c r="M8" s="324">
        <v>82.362133933500886</v>
      </c>
    </row>
    <row r="9" spans="2:13">
      <c r="B9" t="str">
        <f>_xlfn.XLOOKUP(C9,'REF_CS-GAR OEM'!B:B,'REF_CS-GAR OEM'!C:C)</f>
        <v>Ford</v>
      </c>
      <c r="C9" s="109" t="s">
        <v>80</v>
      </c>
      <c r="D9" s="135" t="s">
        <v>300</v>
      </c>
      <c r="E9" s="135" t="s">
        <v>300</v>
      </c>
      <c r="F9" s="135" t="s">
        <v>300</v>
      </c>
      <c r="G9" s="135" t="s">
        <v>300</v>
      </c>
      <c r="H9" s="282">
        <v>540</v>
      </c>
      <c r="I9" s="135" t="s">
        <v>300</v>
      </c>
      <c r="J9" s="135" t="s">
        <v>300</v>
      </c>
      <c r="K9" s="282">
        <v>390</v>
      </c>
      <c r="L9" s="282">
        <v>481</v>
      </c>
      <c r="M9" s="320">
        <v>86</v>
      </c>
    </row>
    <row r="10" spans="2:13">
      <c r="B10" t="str">
        <f>_xlfn.XLOOKUP(C10,'REF_CS-GAR OEM'!B:B,'REF_CS-GAR OEM'!C:C)</f>
        <v>Toyota</v>
      </c>
      <c r="C10" s="109" t="s">
        <v>77</v>
      </c>
      <c r="D10" s="323">
        <v>150</v>
      </c>
      <c r="E10" s="135" t="s">
        <v>300</v>
      </c>
      <c r="F10" s="282">
        <v>493</v>
      </c>
      <c r="G10" s="282">
        <v>655</v>
      </c>
      <c r="H10" s="282">
        <v>485</v>
      </c>
      <c r="I10" s="135" t="s">
        <v>300</v>
      </c>
      <c r="J10" s="282">
        <v>260</v>
      </c>
      <c r="K10" s="282">
        <v>230</v>
      </c>
      <c r="L10" s="282">
        <v>467</v>
      </c>
      <c r="M10" s="320">
        <v>82</v>
      </c>
    </row>
    <row r="11" spans="2:13" ht="17">
      <c r="B11" t="str">
        <f>_xlfn.XLOOKUP(C11,'REF_CS-GAR OEM'!B:B,'REF_CS-GAR OEM'!C:C)</f>
        <v>GM</v>
      </c>
      <c r="C11" s="109" t="s">
        <v>70</v>
      </c>
      <c r="D11" s="321" t="s">
        <v>300</v>
      </c>
      <c r="E11" s="321" t="s">
        <v>300</v>
      </c>
      <c r="F11" s="322">
        <v>438</v>
      </c>
      <c r="G11" s="321" t="s">
        <v>300</v>
      </c>
      <c r="H11" s="322">
        <v>446</v>
      </c>
      <c r="I11" s="321" t="s">
        <v>300</v>
      </c>
      <c r="J11" s="321" t="s">
        <v>300</v>
      </c>
      <c r="K11" s="321" t="s">
        <v>300</v>
      </c>
      <c r="L11" s="282">
        <v>445</v>
      </c>
      <c r="M11" s="320">
        <v>75</v>
      </c>
    </row>
    <row r="12" spans="2:13" ht="17">
      <c r="B12" t="str">
        <f>_xlfn.XLOOKUP(C12,'REF_CS-GAR OEM'!B:B,'REF_CS-GAR OEM'!C:C)</f>
        <v>Hyundai Kia</v>
      </c>
      <c r="C12" s="109" t="s">
        <v>191</v>
      </c>
      <c r="D12" s="321" t="s">
        <v>300</v>
      </c>
      <c r="E12" s="322">
        <v>200</v>
      </c>
      <c r="F12" s="321" t="s">
        <v>300</v>
      </c>
      <c r="G12" s="322">
        <v>588</v>
      </c>
      <c r="H12" s="282">
        <v>449</v>
      </c>
      <c r="I12" s="135" t="s">
        <v>300</v>
      </c>
      <c r="J12" s="282">
        <v>172</v>
      </c>
      <c r="K12" s="135" t="s">
        <v>300</v>
      </c>
      <c r="L12" s="282">
        <v>432</v>
      </c>
      <c r="M12" s="320">
        <v>71</v>
      </c>
    </row>
    <row r="13" spans="2:13">
      <c r="B13" t="str">
        <f>_xlfn.XLOOKUP(C13,'REF_CS-GAR OEM'!B:B,'REF_CS-GAR OEM'!C:C)</f>
        <v>BYD</v>
      </c>
      <c r="C13" s="109" t="s">
        <v>64</v>
      </c>
      <c r="D13" s="323">
        <v>309</v>
      </c>
      <c r="E13" s="282">
        <v>344</v>
      </c>
      <c r="F13" s="282">
        <v>472</v>
      </c>
      <c r="G13" s="282">
        <v>490</v>
      </c>
      <c r="H13" s="282">
        <v>444</v>
      </c>
      <c r="I13" s="135" t="s">
        <v>300</v>
      </c>
      <c r="J13" s="282">
        <v>209</v>
      </c>
      <c r="K13" s="135" t="s">
        <v>300</v>
      </c>
      <c r="L13" s="282">
        <v>407</v>
      </c>
      <c r="M13" s="320">
        <v>64</v>
      </c>
    </row>
    <row r="14" spans="2:13">
      <c r="B14" t="str">
        <f>_xlfn.XLOOKUP(C14,'REF_CS-GAR OEM'!B:B,'REF_CS-GAR OEM'!C:C)</f>
        <v>Honda</v>
      </c>
      <c r="C14" s="109" t="s">
        <v>89</v>
      </c>
      <c r="D14" s="323">
        <v>219</v>
      </c>
      <c r="E14" s="135" t="s">
        <v>300</v>
      </c>
      <c r="F14" s="135" t="s">
        <v>300</v>
      </c>
      <c r="G14" s="135" t="s">
        <v>300</v>
      </c>
      <c r="H14" s="282">
        <v>390</v>
      </c>
      <c r="I14" s="135" t="s">
        <v>300</v>
      </c>
      <c r="J14" s="135" t="s">
        <v>300</v>
      </c>
      <c r="K14" s="135" t="s">
        <v>300</v>
      </c>
      <c r="L14" s="282">
        <v>376</v>
      </c>
      <c r="M14" s="320">
        <v>54</v>
      </c>
    </row>
    <row r="15" spans="2:13">
      <c r="B15" t="str">
        <f>_xlfn.XLOOKUP(C15,'REF_CS-GAR OEM'!B:B,'REF_CS-GAR OEM'!C:C)</f>
        <v>Great Wall</v>
      </c>
      <c r="C15" s="109" t="s">
        <v>294</v>
      </c>
      <c r="D15" s="323">
        <v>352</v>
      </c>
      <c r="E15" s="282">
        <v>351</v>
      </c>
      <c r="F15" s="135" t="s">
        <v>300</v>
      </c>
      <c r="G15" s="282">
        <v>543</v>
      </c>
      <c r="H15" s="135" t="s">
        <v>300</v>
      </c>
      <c r="I15" s="135" t="s">
        <v>300</v>
      </c>
      <c r="J15" s="282">
        <v>352</v>
      </c>
      <c r="K15" s="135" t="s">
        <v>300</v>
      </c>
      <c r="L15" s="282">
        <v>373</v>
      </c>
      <c r="M15" s="320">
        <v>53</v>
      </c>
    </row>
    <row r="16" spans="2:13" ht="17">
      <c r="B16" t="str">
        <f>_xlfn.XLOOKUP(C16,'REF_CS-GAR OEM'!B:B,'REF_CS-GAR OEM'!C:C)</f>
        <v>Geely</v>
      </c>
      <c r="C16" s="109" t="s">
        <v>72</v>
      </c>
      <c r="D16" s="320">
        <v>174</v>
      </c>
      <c r="E16" s="321" t="s">
        <v>300</v>
      </c>
      <c r="F16" s="322">
        <v>406</v>
      </c>
      <c r="G16" s="322">
        <v>535</v>
      </c>
      <c r="H16" s="322">
        <v>419</v>
      </c>
      <c r="I16" s="322">
        <v>225</v>
      </c>
      <c r="J16" s="322">
        <v>332</v>
      </c>
      <c r="K16" s="321" t="s">
        <v>300</v>
      </c>
      <c r="L16" s="325">
        <v>366.63799999999998</v>
      </c>
      <c r="M16" s="320">
        <v>51</v>
      </c>
    </row>
    <row r="17" spans="2:13" ht="17">
      <c r="B17" t="str">
        <f>_xlfn.XLOOKUP(C17,'REF_CS-GAR OEM'!B:B,'REF_CS-GAR OEM'!C:C)</f>
        <v>Tata Motors</v>
      </c>
      <c r="C17" s="109" t="s">
        <v>295</v>
      </c>
      <c r="D17" s="320">
        <v>297</v>
      </c>
      <c r="E17" s="321" t="s">
        <v>300</v>
      </c>
      <c r="F17" s="321" t="s">
        <v>300</v>
      </c>
      <c r="G17" s="321" t="s">
        <v>300</v>
      </c>
      <c r="H17" s="322">
        <v>413</v>
      </c>
      <c r="I17" s="321" t="s">
        <v>300</v>
      </c>
      <c r="J17" s="321" t="s">
        <v>300</v>
      </c>
      <c r="K17" s="321" t="s">
        <v>300</v>
      </c>
      <c r="L17" s="282">
        <v>334</v>
      </c>
      <c r="M17" s="320">
        <v>42</v>
      </c>
    </row>
    <row r="18" spans="2:13">
      <c r="B18" t="str">
        <f>_xlfn.XLOOKUP(C18,'REF_CS-GAR OEM'!B:B,'REF_CS-GAR OEM'!C:C)</f>
        <v>Stellantis</v>
      </c>
      <c r="C18" s="109" t="s">
        <v>74</v>
      </c>
      <c r="D18" s="323">
        <v>301</v>
      </c>
      <c r="E18" s="282">
        <v>374</v>
      </c>
      <c r="F18" s="282">
        <v>363</v>
      </c>
      <c r="G18" s="135" t="s">
        <v>300</v>
      </c>
      <c r="H18" s="282">
        <v>343</v>
      </c>
      <c r="I18" s="282">
        <v>267</v>
      </c>
      <c r="J18" s="282">
        <v>267</v>
      </c>
      <c r="K18" s="282">
        <v>161</v>
      </c>
      <c r="L18" s="282">
        <v>313</v>
      </c>
      <c r="M18" s="320">
        <v>35</v>
      </c>
    </row>
    <row r="19" spans="2:13">
      <c r="B19" t="str">
        <f>_xlfn.XLOOKUP(C19,'REF_CS-GAR OEM'!B:B,'REF_CS-GAR OEM'!C:C)</f>
        <v>Nissan</v>
      </c>
      <c r="C19" s="109" t="s">
        <v>91</v>
      </c>
      <c r="D19" s="135" t="s">
        <v>300</v>
      </c>
      <c r="E19" s="282">
        <v>328</v>
      </c>
      <c r="F19" s="135" t="s">
        <v>300</v>
      </c>
      <c r="G19" s="135" t="s">
        <v>300</v>
      </c>
      <c r="H19" s="282">
        <v>281</v>
      </c>
      <c r="I19" s="135" t="s">
        <v>300</v>
      </c>
      <c r="J19" s="135" t="s">
        <v>300</v>
      </c>
      <c r="K19" s="282">
        <v>291</v>
      </c>
      <c r="L19" s="282">
        <v>296</v>
      </c>
      <c r="M19" s="320">
        <v>30</v>
      </c>
    </row>
    <row r="20" spans="2:13">
      <c r="B20" t="str">
        <f>_xlfn.XLOOKUP(C20,'REF_CS-GAR OEM'!B:B,'REF_CS-GAR OEM'!C:C)</f>
        <v>Renault</v>
      </c>
      <c r="C20" s="109" t="s">
        <v>82</v>
      </c>
      <c r="D20" s="323">
        <v>272</v>
      </c>
      <c r="E20" s="282">
        <v>375</v>
      </c>
      <c r="F20" s="282">
        <v>412</v>
      </c>
      <c r="G20" s="135" t="s">
        <v>300</v>
      </c>
      <c r="H20" s="282">
        <v>226</v>
      </c>
      <c r="I20" s="135" t="s">
        <v>300</v>
      </c>
      <c r="J20" s="282">
        <v>272</v>
      </c>
      <c r="K20" s="135" t="s">
        <v>300</v>
      </c>
      <c r="L20" s="282">
        <v>284</v>
      </c>
      <c r="M20" s="320">
        <v>27</v>
      </c>
    </row>
    <row r="21" spans="2:13">
      <c r="B21" t="str">
        <f>_xlfn.XLOOKUP(C21,'REF_CS-GAR OEM'!B:B,'REF_CS-GAR OEM'!C:C)</f>
        <v>SAIC</v>
      </c>
      <c r="C21" s="109" t="s">
        <v>68</v>
      </c>
      <c r="D21" s="323">
        <v>221</v>
      </c>
      <c r="E21" s="282">
        <v>388</v>
      </c>
      <c r="F21" s="282">
        <v>370</v>
      </c>
      <c r="G21" s="282">
        <v>511</v>
      </c>
      <c r="H21" s="282">
        <v>418</v>
      </c>
      <c r="I21" s="282">
        <v>186</v>
      </c>
      <c r="J21" s="282">
        <v>253</v>
      </c>
      <c r="K21" s="282">
        <v>246</v>
      </c>
      <c r="L21" s="282">
        <v>281</v>
      </c>
      <c r="M21" s="320">
        <v>26</v>
      </c>
    </row>
    <row r="22" spans="2:13">
      <c r="B22" t="str">
        <f>_xlfn.XLOOKUP(C22,'REF_CS-GAR OEM'!B:B,'REF_CS-GAR OEM'!C:C)</f>
        <v>Changan</v>
      </c>
      <c r="C22" s="109" t="s">
        <v>76</v>
      </c>
      <c r="D22" s="323">
        <v>191</v>
      </c>
      <c r="E22" s="135" t="s">
        <v>300</v>
      </c>
      <c r="F22" s="282">
        <v>349</v>
      </c>
      <c r="G22" s="282">
        <v>604</v>
      </c>
      <c r="H22" s="282">
        <v>521</v>
      </c>
      <c r="I22" s="282">
        <v>247</v>
      </c>
      <c r="J22" s="282">
        <v>255</v>
      </c>
      <c r="K22" s="135" t="s">
        <v>300</v>
      </c>
      <c r="L22" s="282">
        <v>267</v>
      </c>
      <c r="M22" s="320">
        <v>21</v>
      </c>
    </row>
    <row r="23" spans="2:13">
      <c r="B23" t="str">
        <f>_xlfn.XLOOKUP(C23,'REF_CS-GAR OEM'!B:B,'REF_CS-GAR OEM'!C:C)</f>
        <v>Chery</v>
      </c>
      <c r="C23" s="109" t="s">
        <v>142</v>
      </c>
      <c r="D23" s="323">
        <v>187</v>
      </c>
      <c r="E23" s="282">
        <v>349</v>
      </c>
      <c r="F23" s="135" t="s">
        <v>300</v>
      </c>
      <c r="G23" s="282">
        <v>589</v>
      </c>
      <c r="H23" s="282">
        <v>414</v>
      </c>
      <c r="I23" s="282">
        <v>240</v>
      </c>
      <c r="J23" s="282">
        <v>236</v>
      </c>
      <c r="K23" s="135" t="s">
        <v>300</v>
      </c>
      <c r="L23" s="282">
        <v>209</v>
      </c>
      <c r="M23" s="320">
        <v>4</v>
      </c>
    </row>
    <row r="24" spans="2:13">
      <c r="B24" t="str">
        <f>_xlfn.XLOOKUP(C24,'REF_CS-GAR OEM'!B:B,'REF_CS-GAR OEM'!C:C)</f>
        <v>Mazda</v>
      </c>
      <c r="C24" s="109" t="s">
        <v>97</v>
      </c>
      <c r="D24" s="135" t="s">
        <v>300</v>
      </c>
      <c r="E24" s="135" t="s">
        <v>300</v>
      </c>
      <c r="F24" s="135" t="s">
        <v>300</v>
      </c>
      <c r="G24" s="135" t="s">
        <v>300</v>
      </c>
      <c r="H24" s="282">
        <v>203</v>
      </c>
      <c r="I24" s="135" t="s">
        <v>300</v>
      </c>
      <c r="J24" s="135" t="s">
        <v>300</v>
      </c>
      <c r="K24" s="135" t="s">
        <v>300</v>
      </c>
      <c r="L24" s="325">
        <v>203.37799999999999</v>
      </c>
      <c r="M24" s="320">
        <v>2</v>
      </c>
    </row>
    <row r="25" spans="2:13">
      <c r="B25" t="str">
        <f>_xlfn.XLOOKUP(C25,'REF_CS-GAR OEM'!B:B,'REF_CS-GAR OEM'!C:C)</f>
        <v>Suzuki</v>
      </c>
      <c r="C25" s="109" t="s">
        <v>99</v>
      </c>
      <c r="D25" s="135" t="s">
        <v>300</v>
      </c>
      <c r="E25" s="135" t="s">
        <v>300</v>
      </c>
      <c r="F25" s="135" t="s">
        <v>300</v>
      </c>
      <c r="G25" s="135" t="s">
        <v>300</v>
      </c>
      <c r="H25" s="135" t="s">
        <v>300</v>
      </c>
      <c r="I25" s="135" t="s">
        <v>300</v>
      </c>
      <c r="J25" s="135" t="s">
        <v>300</v>
      </c>
      <c r="K25" s="135" t="s">
        <v>300</v>
      </c>
      <c r="L25" s="135" t="s">
        <v>300</v>
      </c>
      <c r="M25" s="135" t="s">
        <v>300</v>
      </c>
    </row>
  </sheetData>
  <sheetProtection algorithmName="SHA-512" hashValue="clQElAI/YwYj73x00Oka8v0tF8Cg4iMeO1FLgIvI6Z46oE/sfAMDnpGTI7OQ1i8ggtpKrJiy5g3c9IsZTll3XQ==" saltValue="Tz/IueEaZaLcGMT3KUElMw==" spinCount="100000" sheet="1" objects="1" scenarios="1" selectLockedCells="1" selectUnlockedCells="1"/>
  <mergeCells count="5">
    <mergeCell ref="C3:C4"/>
    <mergeCell ref="D3:H3"/>
    <mergeCell ref="I3:K3"/>
    <mergeCell ref="L3:L4"/>
    <mergeCell ref="M3:M4"/>
  </mergeCells>
  <phoneticPr fontId="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A6C45-E05E-0448-BBDA-5523CEB490FE}">
  <sheetPr>
    <tabColor rgb="FFC9ECE6"/>
  </sheetPr>
  <dimension ref="A1:Q33"/>
  <sheetViews>
    <sheetView zoomScale="60" zoomScaleNormal="60" workbookViewId="0">
      <selection activeCell="A2" sqref="A2:A3"/>
    </sheetView>
  </sheetViews>
  <sheetFormatPr baseColWidth="10" defaultColWidth="11" defaultRowHeight="16"/>
  <cols>
    <col min="1" max="1" width="17.83203125" style="12" customWidth="1"/>
    <col min="2" max="2" width="108" style="8" customWidth="1"/>
    <col min="3" max="3" width="90.83203125" style="8" customWidth="1"/>
    <col min="4" max="5" width="20.1640625" style="8" customWidth="1"/>
    <col min="6" max="6" width="10.83203125" style="6" customWidth="1"/>
    <col min="7" max="11" width="10.83203125" style="8" customWidth="1"/>
    <col min="12" max="12" width="10.83203125" style="53" customWidth="1"/>
    <col min="13" max="13" width="14.5" style="8" customWidth="1"/>
    <col min="14" max="14" width="18.1640625" style="12" customWidth="1"/>
    <col min="15" max="15" width="19" style="8" customWidth="1"/>
    <col min="16" max="16" width="11" style="8"/>
    <col min="17" max="17" width="15.83203125" style="8" customWidth="1"/>
    <col min="18" max="21" width="11" style="8"/>
    <col min="22" max="22" width="13.83203125" style="8" bestFit="1" customWidth="1"/>
    <col min="23" max="16384" width="11" style="8"/>
  </cols>
  <sheetData>
    <row r="1" spans="1:17">
      <c r="A1" s="15"/>
      <c r="L1" s="520"/>
      <c r="M1" s="520"/>
    </row>
    <row r="2" spans="1:17" s="14" customFormat="1" ht="49" customHeight="1">
      <c r="A2" s="519" t="s">
        <v>31</v>
      </c>
      <c r="B2" s="519" t="s">
        <v>322</v>
      </c>
      <c r="C2" s="519" t="s">
        <v>323</v>
      </c>
      <c r="D2" s="519" t="s">
        <v>324</v>
      </c>
      <c r="E2" s="519"/>
      <c r="F2" s="519"/>
      <c r="G2" s="519"/>
      <c r="H2" s="519"/>
      <c r="I2" s="519"/>
      <c r="J2" s="519"/>
      <c r="K2" s="519"/>
      <c r="L2" s="519"/>
      <c r="M2" s="519"/>
      <c r="N2" s="519" t="s">
        <v>323</v>
      </c>
      <c r="O2" s="519"/>
      <c r="P2" s="523" t="s">
        <v>325</v>
      </c>
    </row>
    <row r="3" spans="1:17" ht="119" customHeight="1">
      <c r="A3" s="519"/>
      <c r="B3" s="519"/>
      <c r="C3" s="519"/>
      <c r="D3" s="429" t="s">
        <v>326</v>
      </c>
      <c r="E3" s="429" t="s">
        <v>327</v>
      </c>
      <c r="F3" s="430" t="s">
        <v>328</v>
      </c>
      <c r="G3" s="430" t="s">
        <v>160</v>
      </c>
      <c r="H3" s="430" t="s">
        <v>161</v>
      </c>
      <c r="I3" s="430" t="s">
        <v>136</v>
      </c>
      <c r="J3" s="430" t="s">
        <v>162</v>
      </c>
      <c r="K3" s="430" t="s">
        <v>163</v>
      </c>
      <c r="L3" s="431" t="s">
        <v>164</v>
      </c>
      <c r="M3" s="430" t="s">
        <v>329</v>
      </c>
      <c r="N3" s="429" t="s">
        <v>330</v>
      </c>
      <c r="O3" s="429" t="s">
        <v>331</v>
      </c>
      <c r="P3" s="523"/>
    </row>
    <row r="4" spans="1:17" ht="217" customHeight="1">
      <c r="A4" s="7" t="s">
        <v>65</v>
      </c>
      <c r="B4" s="103" t="s">
        <v>332</v>
      </c>
      <c r="C4" s="103" t="s">
        <v>333</v>
      </c>
      <c r="D4" s="293">
        <v>1</v>
      </c>
      <c r="E4" s="328" t="s">
        <v>334</v>
      </c>
      <c r="F4" s="293">
        <v>1</v>
      </c>
      <c r="G4" s="107">
        <v>1</v>
      </c>
      <c r="H4" s="107">
        <v>1</v>
      </c>
      <c r="I4" s="107">
        <v>1</v>
      </c>
      <c r="J4" s="107">
        <v>1</v>
      </c>
      <c r="K4" s="107">
        <v>1</v>
      </c>
      <c r="L4" s="94">
        <v>1</v>
      </c>
      <c r="M4" s="293">
        <v>1</v>
      </c>
      <c r="N4" s="94" t="s">
        <v>335</v>
      </c>
      <c r="O4" s="94" t="s">
        <v>335</v>
      </c>
      <c r="P4" s="326">
        <v>100</v>
      </c>
      <c r="Q4" s="16"/>
    </row>
    <row r="5" spans="1:17" ht="217" customHeight="1">
      <c r="A5" s="7" t="s">
        <v>71</v>
      </c>
      <c r="B5" s="103" t="s">
        <v>336</v>
      </c>
      <c r="C5" s="103" t="s">
        <v>337</v>
      </c>
      <c r="D5" s="293">
        <v>1</v>
      </c>
      <c r="E5" s="328" t="s">
        <v>334</v>
      </c>
      <c r="F5" s="293">
        <v>1</v>
      </c>
      <c r="G5" s="107">
        <v>1</v>
      </c>
      <c r="H5" s="107">
        <v>1</v>
      </c>
      <c r="I5" s="107">
        <v>1</v>
      </c>
      <c r="J5" s="107">
        <v>1</v>
      </c>
      <c r="K5" s="107">
        <v>1</v>
      </c>
      <c r="L5" s="94">
        <v>1</v>
      </c>
      <c r="M5" s="293">
        <v>1</v>
      </c>
      <c r="N5" s="94" t="s">
        <v>335</v>
      </c>
      <c r="O5" s="94" t="s">
        <v>338</v>
      </c>
      <c r="P5" s="326">
        <v>100</v>
      </c>
      <c r="Q5" s="16"/>
    </row>
    <row r="6" spans="1:17" ht="54" customHeight="1">
      <c r="A6" s="518" t="s">
        <v>69</v>
      </c>
      <c r="B6" s="522" t="s">
        <v>339</v>
      </c>
      <c r="C6" s="522" t="s">
        <v>340</v>
      </c>
      <c r="D6" s="293">
        <v>0.56000000000000005</v>
      </c>
      <c r="E6" s="328" t="s">
        <v>334</v>
      </c>
      <c r="F6" s="293">
        <v>0.56000000000000005</v>
      </c>
      <c r="G6" s="107"/>
      <c r="H6" s="327"/>
      <c r="I6" s="107"/>
      <c r="J6" s="107"/>
      <c r="K6" s="107"/>
      <c r="L6" s="94"/>
      <c r="M6" s="525">
        <v>0.46842048857150331</v>
      </c>
      <c r="N6" s="527" t="s">
        <v>335</v>
      </c>
      <c r="O6" s="527" t="s">
        <v>335</v>
      </c>
      <c r="P6" s="524">
        <v>73.421024428575166</v>
      </c>
      <c r="Q6" s="16"/>
    </row>
    <row r="7" spans="1:17" ht="54" customHeight="1">
      <c r="A7" s="518"/>
      <c r="B7" s="522"/>
      <c r="C7" s="522"/>
      <c r="D7" s="293">
        <v>1</v>
      </c>
      <c r="E7" s="328" t="s">
        <v>341</v>
      </c>
      <c r="F7" s="293">
        <v>1</v>
      </c>
      <c r="G7" s="107"/>
      <c r="H7" s="107">
        <v>1</v>
      </c>
      <c r="I7" s="107"/>
      <c r="J7" s="107"/>
      <c r="K7" s="107"/>
      <c r="L7" s="328"/>
      <c r="M7" s="525"/>
      <c r="N7" s="527"/>
      <c r="O7" s="527"/>
      <c r="P7" s="524"/>
    </row>
    <row r="8" spans="1:17" ht="66" customHeight="1">
      <c r="A8" s="518"/>
      <c r="B8" s="522"/>
      <c r="C8" s="522"/>
      <c r="D8" s="293">
        <v>1</v>
      </c>
      <c r="E8" s="328" t="s">
        <v>342</v>
      </c>
      <c r="F8" s="293">
        <v>1</v>
      </c>
      <c r="G8" s="107"/>
      <c r="H8" s="107"/>
      <c r="I8" s="107"/>
      <c r="J8" s="107"/>
      <c r="K8" s="107"/>
      <c r="L8" s="328"/>
      <c r="M8" s="525"/>
      <c r="N8" s="527"/>
      <c r="O8" s="527"/>
      <c r="P8" s="524"/>
    </row>
    <row r="9" spans="1:17" ht="67" customHeight="1">
      <c r="A9" s="518" t="s">
        <v>88</v>
      </c>
      <c r="B9" s="457" t="s">
        <v>343</v>
      </c>
      <c r="C9" s="457" t="s">
        <v>344</v>
      </c>
      <c r="D9" s="293">
        <v>0.51</v>
      </c>
      <c r="E9" s="328" t="s">
        <v>334</v>
      </c>
      <c r="F9" s="293">
        <v>0.51</v>
      </c>
      <c r="G9" s="107"/>
      <c r="H9" s="107"/>
      <c r="I9" s="107"/>
      <c r="J9" s="107"/>
      <c r="K9" s="107"/>
      <c r="L9" s="328"/>
      <c r="M9" s="525">
        <v>0.27803093168257881</v>
      </c>
      <c r="N9" s="527" t="s">
        <v>335</v>
      </c>
      <c r="O9" s="527" t="s">
        <v>345</v>
      </c>
      <c r="P9" s="526">
        <v>13.901546584128941</v>
      </c>
      <c r="Q9" s="16"/>
    </row>
    <row r="10" spans="1:17" ht="67" customHeight="1">
      <c r="A10" s="518"/>
      <c r="B10" s="457"/>
      <c r="C10" s="457"/>
      <c r="D10" s="293">
        <v>1</v>
      </c>
      <c r="E10" s="328" t="s">
        <v>346</v>
      </c>
      <c r="F10" s="293">
        <v>1</v>
      </c>
      <c r="G10" s="107"/>
      <c r="H10" s="107">
        <v>1</v>
      </c>
      <c r="I10" s="107"/>
      <c r="J10" s="107"/>
      <c r="K10" s="107"/>
      <c r="L10" s="328"/>
      <c r="M10" s="525"/>
      <c r="N10" s="527"/>
      <c r="O10" s="527"/>
      <c r="P10" s="526"/>
    </row>
    <row r="11" spans="1:17" ht="282" customHeight="1">
      <c r="A11" s="7" t="s">
        <v>92</v>
      </c>
      <c r="B11" s="88" t="s">
        <v>347</v>
      </c>
      <c r="C11" s="88" t="s">
        <v>348</v>
      </c>
      <c r="D11" s="293">
        <v>1</v>
      </c>
      <c r="E11" s="328" t="s">
        <v>349</v>
      </c>
      <c r="F11" s="293">
        <v>1</v>
      </c>
      <c r="G11" s="107"/>
      <c r="H11" s="107">
        <v>1</v>
      </c>
      <c r="I11" s="107"/>
      <c r="J11" s="107"/>
      <c r="K11" s="107"/>
      <c r="L11" s="328"/>
      <c r="M11" s="89">
        <f>11.2097907565767/100</f>
        <v>0.112097907565767</v>
      </c>
      <c r="N11" s="94" t="s">
        <v>335</v>
      </c>
      <c r="O11" s="94" t="s">
        <v>345</v>
      </c>
      <c r="P11" s="326">
        <v>11.209790756576698</v>
      </c>
      <c r="Q11" s="16"/>
    </row>
    <row r="12" spans="1:17" ht="124" customHeight="1">
      <c r="A12" s="518" t="s">
        <v>72</v>
      </c>
      <c r="B12" s="457" t="s">
        <v>350</v>
      </c>
      <c r="C12" s="457" t="s">
        <v>351</v>
      </c>
      <c r="D12" s="293" t="s">
        <v>352</v>
      </c>
      <c r="E12" s="328" t="s">
        <v>334</v>
      </c>
      <c r="F12" s="293">
        <v>0.36</v>
      </c>
      <c r="G12" s="107"/>
      <c r="H12" s="107"/>
      <c r="I12" s="107"/>
      <c r="J12" s="107"/>
      <c r="K12" s="107"/>
      <c r="L12" s="328"/>
      <c r="M12" s="521">
        <f>6.85482956049525/100</f>
        <v>6.85482956049525E-2</v>
      </c>
      <c r="N12" s="527" t="s">
        <v>335</v>
      </c>
      <c r="O12" s="527" t="s">
        <v>345</v>
      </c>
      <c r="P12" s="526">
        <v>6.8548295604952463</v>
      </c>
      <c r="Q12" s="16"/>
    </row>
    <row r="13" spans="1:17" ht="154" customHeight="1">
      <c r="A13" s="518"/>
      <c r="B13" s="457"/>
      <c r="C13" s="457"/>
      <c r="D13" s="293" t="s">
        <v>353</v>
      </c>
      <c r="E13" s="328" t="s">
        <v>349</v>
      </c>
      <c r="F13" s="293">
        <v>1</v>
      </c>
      <c r="G13" s="107"/>
      <c r="H13" s="107">
        <v>1</v>
      </c>
      <c r="I13" s="107"/>
      <c r="J13" s="107"/>
      <c r="K13" s="107"/>
      <c r="L13" s="328"/>
      <c r="M13" s="521"/>
      <c r="N13" s="527"/>
      <c r="O13" s="527"/>
      <c r="P13" s="526"/>
    </row>
    <row r="14" spans="1:17" ht="110" customHeight="1">
      <c r="A14" s="518" t="s">
        <v>79</v>
      </c>
      <c r="B14" s="457" t="s">
        <v>354</v>
      </c>
      <c r="C14" s="457" t="s">
        <v>355</v>
      </c>
      <c r="D14" s="293" t="s">
        <v>356</v>
      </c>
      <c r="E14" s="328" t="s">
        <v>334</v>
      </c>
      <c r="F14" s="293">
        <v>0.26</v>
      </c>
      <c r="G14" s="107"/>
      <c r="H14" s="7"/>
      <c r="I14" s="107"/>
      <c r="J14" s="107"/>
      <c r="K14" s="107"/>
      <c r="L14" s="328"/>
      <c r="M14" s="521">
        <f>6.75872942545095/100</f>
        <v>6.7587294254509503E-2</v>
      </c>
      <c r="N14" s="527" t="s">
        <v>335</v>
      </c>
      <c r="O14" s="527" t="s">
        <v>345</v>
      </c>
      <c r="P14" s="526">
        <v>6.7587294254509542</v>
      </c>
      <c r="Q14" s="16"/>
    </row>
    <row r="15" spans="1:17" ht="125" customHeight="1">
      <c r="A15" s="518"/>
      <c r="B15" s="457"/>
      <c r="C15" s="457"/>
      <c r="D15" s="293" t="s">
        <v>357</v>
      </c>
      <c r="E15" s="328" t="s">
        <v>358</v>
      </c>
      <c r="F15" s="293">
        <v>1</v>
      </c>
      <c r="G15" s="107"/>
      <c r="H15" s="107">
        <v>1</v>
      </c>
      <c r="I15" s="107"/>
      <c r="J15" s="107"/>
      <c r="K15" s="107"/>
      <c r="L15" s="328"/>
      <c r="M15" s="521"/>
      <c r="N15" s="527"/>
      <c r="O15" s="527"/>
      <c r="P15" s="526"/>
    </row>
    <row r="16" spans="1:17" ht="36" customHeight="1">
      <c r="A16" s="518" t="s">
        <v>77</v>
      </c>
      <c r="B16" s="457" t="s">
        <v>359</v>
      </c>
      <c r="C16" s="457" t="s">
        <v>360</v>
      </c>
      <c r="D16" s="293">
        <v>0.2</v>
      </c>
      <c r="E16" s="328" t="s">
        <v>334</v>
      </c>
      <c r="F16" s="293">
        <v>0.2</v>
      </c>
      <c r="G16" s="107"/>
      <c r="H16" s="7"/>
      <c r="I16" s="107"/>
      <c r="J16" s="107"/>
      <c r="K16" s="107"/>
      <c r="L16" s="328"/>
      <c r="M16" s="525">
        <v>6.4846882771260106E-2</v>
      </c>
      <c r="N16" s="527" t="s">
        <v>335</v>
      </c>
      <c r="O16" s="527" t="s">
        <v>361</v>
      </c>
      <c r="P16" s="526">
        <v>6.4846882771260104</v>
      </c>
      <c r="Q16" s="16"/>
    </row>
    <row r="17" spans="1:17" ht="36" customHeight="1">
      <c r="A17" s="518"/>
      <c r="B17" s="457"/>
      <c r="C17" s="457"/>
      <c r="D17" s="293">
        <v>1</v>
      </c>
      <c r="E17" s="328" t="s">
        <v>349</v>
      </c>
      <c r="F17" s="293">
        <v>1</v>
      </c>
      <c r="G17" s="107"/>
      <c r="H17" s="107">
        <v>1</v>
      </c>
      <c r="I17" s="107"/>
      <c r="J17" s="107"/>
      <c r="K17" s="107"/>
      <c r="L17" s="328"/>
      <c r="M17" s="525"/>
      <c r="N17" s="527"/>
      <c r="O17" s="527"/>
      <c r="P17" s="526"/>
    </row>
    <row r="18" spans="1:17" ht="36" customHeight="1">
      <c r="A18" s="518"/>
      <c r="B18" s="457"/>
      <c r="C18" s="457"/>
      <c r="D18" s="293">
        <v>1</v>
      </c>
      <c r="E18" s="328" t="s">
        <v>362</v>
      </c>
      <c r="F18" s="293">
        <v>1</v>
      </c>
      <c r="G18" s="107"/>
      <c r="H18" s="107"/>
      <c r="I18" s="107"/>
      <c r="J18" s="107"/>
      <c r="K18" s="107"/>
      <c r="L18" s="328"/>
      <c r="M18" s="525"/>
      <c r="N18" s="527"/>
      <c r="O18" s="527"/>
      <c r="P18" s="526"/>
    </row>
    <row r="19" spans="1:17" ht="148" customHeight="1">
      <c r="A19" s="7" t="s">
        <v>70</v>
      </c>
      <c r="B19" s="88" t="s">
        <v>363</v>
      </c>
      <c r="C19" s="88" t="s">
        <v>364</v>
      </c>
      <c r="D19" s="293">
        <v>0.39</v>
      </c>
      <c r="E19" s="328" t="s">
        <v>334</v>
      </c>
      <c r="F19" s="293">
        <v>0.39</v>
      </c>
      <c r="G19" s="329"/>
      <c r="H19" s="329"/>
      <c r="I19" s="329"/>
      <c r="J19" s="329"/>
      <c r="K19" s="329"/>
      <c r="L19" s="96"/>
      <c r="M19" s="293">
        <v>0</v>
      </c>
      <c r="N19" s="94" t="s">
        <v>335</v>
      </c>
      <c r="O19" s="94" t="s">
        <v>345</v>
      </c>
      <c r="P19" s="107">
        <v>0</v>
      </c>
      <c r="Q19" s="16"/>
    </row>
    <row r="20" spans="1:17" ht="100" customHeight="1">
      <c r="A20" s="518" t="s">
        <v>74</v>
      </c>
      <c r="B20" s="457" t="s">
        <v>582</v>
      </c>
      <c r="C20" s="457" t="s">
        <v>583</v>
      </c>
      <c r="D20" s="293">
        <v>0.28999999999999998</v>
      </c>
      <c r="E20" s="328" t="s">
        <v>334</v>
      </c>
      <c r="F20" s="293">
        <v>0.28999999999999998</v>
      </c>
      <c r="G20" s="329"/>
      <c r="H20" s="329"/>
      <c r="I20" s="329"/>
      <c r="J20" s="329"/>
      <c r="K20" s="329"/>
      <c r="L20" s="96"/>
      <c r="M20" s="525">
        <v>0</v>
      </c>
      <c r="N20" s="527" t="s">
        <v>335</v>
      </c>
      <c r="O20" s="527" t="s">
        <v>345</v>
      </c>
      <c r="P20" s="524">
        <v>0</v>
      </c>
      <c r="Q20" s="16"/>
    </row>
    <row r="21" spans="1:17" ht="100" customHeight="1">
      <c r="A21" s="518"/>
      <c r="B21" s="457"/>
      <c r="C21" s="457"/>
      <c r="D21" s="293">
        <v>1</v>
      </c>
      <c r="E21" s="328" t="s">
        <v>365</v>
      </c>
      <c r="F21" s="293">
        <v>1</v>
      </c>
      <c r="G21" s="329"/>
      <c r="H21" s="329"/>
      <c r="I21" s="329"/>
      <c r="J21" s="329"/>
      <c r="K21" s="329"/>
      <c r="L21" s="96"/>
      <c r="M21" s="525"/>
      <c r="N21" s="527"/>
      <c r="O21" s="527"/>
      <c r="P21" s="524"/>
      <c r="Q21" s="16"/>
    </row>
    <row r="22" spans="1:17" ht="191" customHeight="1">
      <c r="A22" s="7" t="s">
        <v>89</v>
      </c>
      <c r="B22" s="88" t="s">
        <v>366</v>
      </c>
      <c r="C22" s="330" t="s">
        <v>367</v>
      </c>
      <c r="D22" s="293">
        <v>0.22</v>
      </c>
      <c r="E22" s="328" t="s">
        <v>334</v>
      </c>
      <c r="F22" s="293">
        <v>0.22</v>
      </c>
      <c r="G22" s="329"/>
      <c r="H22" s="329"/>
      <c r="I22" s="329"/>
      <c r="J22" s="329"/>
      <c r="K22" s="329"/>
      <c r="L22" s="96"/>
      <c r="M22" s="293">
        <v>0</v>
      </c>
      <c r="N22" s="94" t="s">
        <v>335</v>
      </c>
      <c r="O22" s="94" t="s">
        <v>345</v>
      </c>
      <c r="P22" s="107">
        <v>0</v>
      </c>
      <c r="Q22" s="16"/>
    </row>
    <row r="23" spans="1:17" ht="152" customHeight="1">
      <c r="A23" s="7" t="s">
        <v>99</v>
      </c>
      <c r="B23" s="330" t="s">
        <v>368</v>
      </c>
      <c r="C23" s="88" t="s">
        <v>369</v>
      </c>
      <c r="D23" s="293" t="s">
        <v>370</v>
      </c>
      <c r="E23" s="328" t="s">
        <v>371</v>
      </c>
      <c r="F23" s="94" t="s">
        <v>100</v>
      </c>
      <c r="G23" s="329"/>
      <c r="H23" s="329"/>
      <c r="I23" s="329"/>
      <c r="J23" s="329"/>
      <c r="K23" s="329"/>
      <c r="L23" s="96"/>
      <c r="M23" s="293">
        <v>0</v>
      </c>
      <c r="N23" s="94" t="s">
        <v>335</v>
      </c>
      <c r="O23" s="94" t="s">
        <v>345</v>
      </c>
      <c r="P23" s="107">
        <v>0</v>
      </c>
      <c r="Q23" s="16"/>
    </row>
    <row r="24" spans="1:17" ht="113" customHeight="1">
      <c r="A24" s="7" t="s">
        <v>91</v>
      </c>
      <c r="B24" s="88" t="s">
        <v>372</v>
      </c>
      <c r="C24" s="88" t="s">
        <v>373</v>
      </c>
      <c r="D24" s="293">
        <v>0.08</v>
      </c>
      <c r="E24" s="328" t="s">
        <v>334</v>
      </c>
      <c r="F24" s="293">
        <v>0.08</v>
      </c>
      <c r="G24" s="329"/>
      <c r="H24" s="329"/>
      <c r="I24" s="329"/>
      <c r="J24" s="329"/>
      <c r="K24" s="329"/>
      <c r="L24" s="96"/>
      <c r="M24" s="293">
        <v>0</v>
      </c>
      <c r="N24" s="94" t="s">
        <v>335</v>
      </c>
      <c r="O24" s="94" t="s">
        <v>345</v>
      </c>
      <c r="P24" s="107">
        <v>0</v>
      </c>
      <c r="Q24" s="16"/>
    </row>
    <row r="25" spans="1:17" ht="118" customHeight="1">
      <c r="A25" s="7" t="s">
        <v>83</v>
      </c>
      <c r="B25" s="88" t="s">
        <v>374</v>
      </c>
      <c r="C25" s="88" t="s">
        <v>375</v>
      </c>
      <c r="D25" s="293" t="s">
        <v>376</v>
      </c>
      <c r="E25" s="328" t="s">
        <v>377</v>
      </c>
      <c r="F25" s="94" t="s">
        <v>100</v>
      </c>
      <c r="G25" s="329"/>
      <c r="H25" s="329"/>
      <c r="I25" s="329"/>
      <c r="J25" s="329"/>
      <c r="K25" s="329"/>
      <c r="L25" s="96"/>
      <c r="M25" s="293">
        <v>0</v>
      </c>
      <c r="N25" s="94" t="s">
        <v>335</v>
      </c>
      <c r="O25" s="94" t="s">
        <v>345</v>
      </c>
      <c r="P25" s="107">
        <v>0</v>
      </c>
      <c r="Q25" s="16"/>
    </row>
    <row r="26" spans="1:17" ht="143" customHeight="1">
      <c r="A26" s="7" t="s">
        <v>64</v>
      </c>
      <c r="B26" s="330" t="s">
        <v>378</v>
      </c>
      <c r="C26" s="88" t="s">
        <v>585</v>
      </c>
      <c r="D26" s="293" t="s">
        <v>379</v>
      </c>
      <c r="E26" s="328" t="s">
        <v>377</v>
      </c>
      <c r="F26" s="94" t="s">
        <v>100</v>
      </c>
      <c r="G26" s="329"/>
      <c r="H26" s="329"/>
      <c r="I26" s="329"/>
      <c r="J26" s="329"/>
      <c r="K26" s="329"/>
      <c r="L26" s="96"/>
      <c r="M26" s="293">
        <v>0</v>
      </c>
      <c r="N26" s="94" t="s">
        <v>345</v>
      </c>
      <c r="O26" s="94" t="s">
        <v>345</v>
      </c>
      <c r="P26" s="107">
        <v>0</v>
      </c>
      <c r="Q26" s="16"/>
    </row>
    <row r="27" spans="1:17" ht="61" customHeight="1">
      <c r="A27" s="518" t="s">
        <v>237</v>
      </c>
      <c r="B27" s="457" t="s">
        <v>380</v>
      </c>
      <c r="C27" s="457" t="s">
        <v>381</v>
      </c>
      <c r="D27" s="293">
        <v>0.5</v>
      </c>
      <c r="E27" s="328" t="s">
        <v>334</v>
      </c>
      <c r="F27" s="293">
        <v>0.5</v>
      </c>
      <c r="G27" s="329"/>
      <c r="H27" s="329"/>
      <c r="I27" s="329"/>
      <c r="J27" s="329"/>
      <c r="K27" s="329"/>
      <c r="L27" s="96"/>
      <c r="M27" s="525">
        <v>0</v>
      </c>
      <c r="N27" s="527" t="s">
        <v>335</v>
      </c>
      <c r="O27" s="527" t="s">
        <v>345</v>
      </c>
      <c r="P27" s="524">
        <v>0</v>
      </c>
      <c r="Q27" s="16"/>
    </row>
    <row r="28" spans="1:17" ht="61" customHeight="1">
      <c r="A28" s="518"/>
      <c r="B28" s="457"/>
      <c r="C28" s="457"/>
      <c r="D28" s="293">
        <v>1</v>
      </c>
      <c r="E28" s="328" t="s">
        <v>584</v>
      </c>
      <c r="F28" s="293">
        <v>1</v>
      </c>
      <c r="G28" s="329"/>
      <c r="H28" s="329"/>
      <c r="I28" s="329"/>
      <c r="J28" s="329"/>
      <c r="K28" s="329"/>
      <c r="L28" s="96"/>
      <c r="M28" s="525"/>
      <c r="N28" s="527"/>
      <c r="O28" s="527"/>
      <c r="P28" s="524"/>
      <c r="Q28" s="16"/>
    </row>
    <row r="29" spans="1:17" ht="83" customHeight="1">
      <c r="A29" s="7" t="s">
        <v>61</v>
      </c>
      <c r="B29" s="88" t="s">
        <v>382</v>
      </c>
      <c r="C29" s="88" t="s">
        <v>383</v>
      </c>
      <c r="D29" s="89">
        <v>0.25</v>
      </c>
      <c r="E29" s="328" t="s">
        <v>334</v>
      </c>
      <c r="F29" s="89">
        <v>0.25</v>
      </c>
      <c r="G29" s="329"/>
      <c r="H29" s="329"/>
      <c r="I29" s="329"/>
      <c r="J29" s="329"/>
      <c r="K29" s="329"/>
      <c r="L29" s="96"/>
      <c r="M29" s="293">
        <v>0</v>
      </c>
      <c r="N29" s="94" t="s">
        <v>335</v>
      </c>
      <c r="O29" s="94" t="s">
        <v>345</v>
      </c>
      <c r="P29" s="107">
        <v>0</v>
      </c>
      <c r="Q29" s="16"/>
    </row>
    <row r="30" spans="1:17" ht="88" customHeight="1">
      <c r="A30" s="7" t="s">
        <v>68</v>
      </c>
      <c r="B30" s="88" t="s">
        <v>375</v>
      </c>
      <c r="C30" s="88" t="s">
        <v>384</v>
      </c>
      <c r="D30" s="89" t="s">
        <v>385</v>
      </c>
      <c r="E30" s="328" t="s">
        <v>377</v>
      </c>
      <c r="F30" s="94" t="s">
        <v>100</v>
      </c>
      <c r="G30" s="329"/>
      <c r="H30" s="329"/>
      <c r="I30" s="329"/>
      <c r="J30" s="329"/>
      <c r="K30" s="329"/>
      <c r="L30" s="96"/>
      <c r="M30" s="293">
        <v>0</v>
      </c>
      <c r="N30" s="94" t="s">
        <v>335</v>
      </c>
      <c r="O30" s="94" t="s">
        <v>345</v>
      </c>
      <c r="P30" s="107">
        <v>0</v>
      </c>
      <c r="Q30" s="16"/>
    </row>
    <row r="31" spans="1:17" ht="60" customHeight="1">
      <c r="A31" s="7" t="s">
        <v>81</v>
      </c>
      <c r="B31" s="88" t="s">
        <v>386</v>
      </c>
      <c r="C31" s="88" t="s">
        <v>375</v>
      </c>
      <c r="D31" s="89">
        <v>0.22</v>
      </c>
      <c r="E31" s="328" t="s">
        <v>377</v>
      </c>
      <c r="F31" s="89">
        <v>0.22</v>
      </c>
      <c r="G31" s="329"/>
      <c r="H31" s="329"/>
      <c r="I31" s="329"/>
      <c r="J31" s="329"/>
      <c r="K31" s="329"/>
      <c r="L31" s="96"/>
      <c r="M31" s="293">
        <v>0</v>
      </c>
      <c r="N31" s="94" t="s">
        <v>335</v>
      </c>
      <c r="O31" s="94" t="s">
        <v>345</v>
      </c>
      <c r="P31" s="107">
        <v>0</v>
      </c>
      <c r="Q31" s="16"/>
    </row>
    <row r="32" spans="1:17" ht="113" customHeight="1">
      <c r="A32" s="7" t="s">
        <v>97</v>
      </c>
      <c r="B32" s="88" t="s">
        <v>387</v>
      </c>
      <c r="C32" s="88" t="s">
        <v>388</v>
      </c>
      <c r="D32" s="89" t="s">
        <v>389</v>
      </c>
      <c r="E32" s="328" t="s">
        <v>390</v>
      </c>
      <c r="F32" s="94" t="s">
        <v>100</v>
      </c>
      <c r="G32" s="329"/>
      <c r="H32" s="329"/>
      <c r="I32" s="329"/>
      <c r="J32" s="329"/>
      <c r="K32" s="329"/>
      <c r="L32" s="96"/>
      <c r="M32" s="293">
        <v>0</v>
      </c>
      <c r="N32" s="94" t="s">
        <v>335</v>
      </c>
      <c r="O32" s="94" t="s">
        <v>345</v>
      </c>
      <c r="P32" s="107">
        <v>0</v>
      </c>
      <c r="Q32" s="16"/>
    </row>
    <row r="33" spans="1:17" ht="33" customHeight="1">
      <c r="A33" s="7" t="s">
        <v>90</v>
      </c>
      <c r="B33" s="88" t="s">
        <v>391</v>
      </c>
      <c r="C33" s="88" t="s">
        <v>375</v>
      </c>
      <c r="D33" s="94" t="s">
        <v>100</v>
      </c>
      <c r="E33" s="94" t="s">
        <v>392</v>
      </c>
      <c r="F33" s="94" t="s">
        <v>100</v>
      </c>
      <c r="G33" s="329"/>
      <c r="H33" s="329"/>
      <c r="I33" s="329"/>
      <c r="J33" s="329"/>
      <c r="K33" s="331"/>
      <c r="L33" s="96"/>
      <c r="M33" s="293">
        <v>0</v>
      </c>
      <c r="N33" s="94" t="s">
        <v>338</v>
      </c>
      <c r="O33" s="94" t="s">
        <v>361</v>
      </c>
      <c r="P33" s="107">
        <v>0</v>
      </c>
      <c r="Q33" s="16"/>
    </row>
  </sheetData>
  <sheetProtection algorithmName="SHA-512" hashValue="Cx2ZaD3CE69EhPgosFV7yrL/vfyGCzqEhbo2nxUNbmuNKnZRabTjnfOuMer5pd+O3DUSCfydadMqf9ZqMeS7bg==" saltValue="thxEH/R2gTYHdux4fRJKMA==" spinCount="100000" sheet="1" objects="1" scenarios="1" selectLockedCells="1" selectUnlockedCells="1"/>
  <mergeCells count="56">
    <mergeCell ref="P27:P28"/>
    <mergeCell ref="C20:C21"/>
    <mergeCell ref="M20:M21"/>
    <mergeCell ref="P20:P21"/>
    <mergeCell ref="C27:C28"/>
    <mergeCell ref="M27:M28"/>
    <mergeCell ref="N20:N21"/>
    <mergeCell ref="O20:O21"/>
    <mergeCell ref="N27:N28"/>
    <mergeCell ref="O27:O28"/>
    <mergeCell ref="P12:P13"/>
    <mergeCell ref="C16:C18"/>
    <mergeCell ref="M16:M18"/>
    <mergeCell ref="P16:P18"/>
    <mergeCell ref="P14:P15"/>
    <mergeCell ref="N12:N13"/>
    <mergeCell ref="O12:O13"/>
    <mergeCell ref="N14:N15"/>
    <mergeCell ref="O14:O15"/>
    <mergeCell ref="N16:N18"/>
    <mergeCell ref="O16:O18"/>
    <mergeCell ref="M14:M15"/>
    <mergeCell ref="P2:P3"/>
    <mergeCell ref="P6:P8"/>
    <mergeCell ref="M9:M10"/>
    <mergeCell ref="M6:M8"/>
    <mergeCell ref="P9:P10"/>
    <mergeCell ref="N2:O2"/>
    <mergeCell ref="N6:N8"/>
    <mergeCell ref="O6:O8"/>
    <mergeCell ref="N9:N10"/>
    <mergeCell ref="O9:O10"/>
    <mergeCell ref="D2:M2"/>
    <mergeCell ref="B16:B18"/>
    <mergeCell ref="B20:B21"/>
    <mergeCell ref="B27:B28"/>
    <mergeCell ref="B2:B3"/>
    <mergeCell ref="C2:C3"/>
    <mergeCell ref="C14:C15"/>
    <mergeCell ref="B14:B15"/>
    <mergeCell ref="B6:B8"/>
    <mergeCell ref="C6:C8"/>
    <mergeCell ref="B9:B10"/>
    <mergeCell ref="C9:C10"/>
    <mergeCell ref="A27:A28"/>
    <mergeCell ref="A20:A21"/>
    <mergeCell ref="A16:A18"/>
    <mergeCell ref="A14:A15"/>
    <mergeCell ref="A12:A13"/>
    <mergeCell ref="A9:A10"/>
    <mergeCell ref="A6:A8"/>
    <mergeCell ref="A2:A3"/>
    <mergeCell ref="L1:M1"/>
    <mergeCell ref="B12:B13"/>
    <mergeCell ref="C12:C13"/>
    <mergeCell ref="M12:M13"/>
  </mergeCells>
  <phoneticPr fontId="2" type="noConversion"/>
  <conditionalFormatting sqref="P4:P9 P16:P33 P11:P14">
    <cfRule type="colorScale" priority="1">
      <colorScale>
        <cfvo type="min"/>
        <cfvo type="num" val="0"/>
        <cfvo type="max"/>
        <color rgb="FFFCFCFF"/>
        <color theme="0"/>
        <color theme="5"/>
      </colorScale>
    </cfRule>
  </conditionalFormatting>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CCDE5-9C3A-3342-870A-9FFE01164197}">
  <sheetPr>
    <tabColor rgb="FFC9ECE6"/>
  </sheetPr>
  <dimension ref="A1:O153"/>
  <sheetViews>
    <sheetView zoomScale="70" zoomScaleNormal="70" workbookViewId="0">
      <selection activeCell="A19" sqref="A19"/>
    </sheetView>
  </sheetViews>
  <sheetFormatPr baseColWidth="10" defaultColWidth="11" defaultRowHeight="16"/>
  <cols>
    <col min="1" max="1" width="15.33203125" style="8" customWidth="1"/>
    <col min="2" max="3" width="101.6640625" style="86" customWidth="1"/>
    <col min="4" max="9" width="15" style="33" customWidth="1"/>
    <col min="10" max="10" width="15" style="8" customWidth="1"/>
    <col min="11" max="11" width="14.83203125" style="8" bestFit="1" customWidth="1"/>
    <col min="12" max="12" width="10.6640625" style="85" customWidth="1"/>
    <col min="13" max="31" width="10.6640625" style="8" customWidth="1"/>
    <col min="32" max="16384" width="11" style="8"/>
  </cols>
  <sheetData>
    <row r="1" spans="1:15" s="34" customFormat="1" ht="69" customHeight="1">
      <c r="A1" s="432" t="s">
        <v>36</v>
      </c>
      <c r="B1" s="432" t="s">
        <v>393</v>
      </c>
      <c r="C1" s="432" t="s">
        <v>394</v>
      </c>
      <c r="D1" s="433" t="s">
        <v>134</v>
      </c>
      <c r="E1" s="433" t="s">
        <v>161</v>
      </c>
      <c r="F1" s="433" t="s">
        <v>395</v>
      </c>
      <c r="G1" s="433" t="s">
        <v>137</v>
      </c>
      <c r="H1" s="433" t="s">
        <v>163</v>
      </c>
      <c r="I1" s="433" t="s">
        <v>164</v>
      </c>
      <c r="J1" s="434" t="s">
        <v>396</v>
      </c>
      <c r="K1" s="432" t="s">
        <v>325</v>
      </c>
      <c r="L1" s="169"/>
    </row>
    <row r="2" spans="1:15" ht="125" customHeight="1">
      <c r="A2" s="9" t="s">
        <v>76</v>
      </c>
      <c r="B2" s="103" t="s">
        <v>397</v>
      </c>
      <c r="C2" s="330" t="s">
        <v>398</v>
      </c>
      <c r="D2" s="391">
        <v>1</v>
      </c>
      <c r="E2" s="391">
        <v>0</v>
      </c>
      <c r="F2" s="391">
        <v>0</v>
      </c>
      <c r="G2" s="391">
        <v>0</v>
      </c>
      <c r="H2" s="391">
        <v>0</v>
      </c>
      <c r="I2" s="391">
        <v>0</v>
      </c>
      <c r="J2" s="89">
        <f>(SUMPRODUCT(D2:I2,'Global sales'!D45:I45)/'Global sales'!J45)</f>
        <v>1</v>
      </c>
      <c r="K2" s="108">
        <f t="shared" ref="K2:K22" si="0">J2*100</f>
        <v>100</v>
      </c>
      <c r="L2" s="8"/>
      <c r="M2" s="332"/>
      <c r="N2" s="12"/>
      <c r="O2" s="14"/>
    </row>
    <row r="3" spans="1:15" ht="163" customHeight="1">
      <c r="A3" s="9" t="s">
        <v>61</v>
      </c>
      <c r="B3" s="330" t="s">
        <v>399</v>
      </c>
      <c r="C3" s="330" t="s">
        <v>398</v>
      </c>
      <c r="D3" s="391">
        <v>1</v>
      </c>
      <c r="E3" s="391">
        <v>1</v>
      </c>
      <c r="F3" s="391">
        <v>1</v>
      </c>
      <c r="G3" s="391">
        <v>0</v>
      </c>
      <c r="H3" s="391">
        <v>0</v>
      </c>
      <c r="I3" s="391">
        <v>0</v>
      </c>
      <c r="J3" s="89">
        <f>(SUMPRODUCT(D3:I3,'Global sales'!D48:I48)/'Global sales'!J48)</f>
        <v>1</v>
      </c>
      <c r="K3" s="108">
        <f t="shared" si="0"/>
        <v>100</v>
      </c>
      <c r="L3" s="8"/>
      <c r="M3" s="332"/>
      <c r="N3" s="12"/>
    </row>
    <row r="4" spans="1:15" ht="261" customHeight="1">
      <c r="A4" s="9" t="s">
        <v>84</v>
      </c>
      <c r="B4" s="330" t="s">
        <v>400</v>
      </c>
      <c r="C4" s="330" t="s">
        <v>401</v>
      </c>
      <c r="D4" s="391">
        <v>1</v>
      </c>
      <c r="E4" s="391">
        <v>1</v>
      </c>
      <c r="F4" s="391">
        <v>1</v>
      </c>
      <c r="G4" s="391">
        <v>1</v>
      </c>
      <c r="H4" s="391">
        <v>1</v>
      </c>
      <c r="I4" s="391">
        <v>1</v>
      </c>
      <c r="J4" s="89">
        <f>($J$24*'Global sales'!$K$54)+(($J$25*'Global sales'!$K$55))</f>
        <v>1</v>
      </c>
      <c r="K4" s="108">
        <f t="shared" si="0"/>
        <v>100</v>
      </c>
      <c r="L4" s="8"/>
      <c r="M4" s="332"/>
      <c r="N4" s="12"/>
    </row>
    <row r="5" spans="1:15" ht="107" customHeight="1">
      <c r="A5" s="78" t="s">
        <v>90</v>
      </c>
      <c r="B5" s="330" t="s">
        <v>402</v>
      </c>
      <c r="C5" s="330" t="s">
        <v>398</v>
      </c>
      <c r="D5" s="391">
        <v>1</v>
      </c>
      <c r="E5" s="391">
        <v>0</v>
      </c>
      <c r="F5" s="391">
        <v>0</v>
      </c>
      <c r="G5" s="391">
        <v>0</v>
      </c>
      <c r="H5" s="391">
        <v>0</v>
      </c>
      <c r="I5" s="391">
        <v>0</v>
      </c>
      <c r="J5" s="89">
        <f>(SUMPRODUCT(D5:I5,'Global sales'!D61:I61)/'Global sales'!J61)</f>
        <v>1</v>
      </c>
      <c r="K5" s="108">
        <f t="shared" si="0"/>
        <v>100</v>
      </c>
      <c r="L5" s="8"/>
      <c r="M5" s="332"/>
      <c r="N5" s="12"/>
    </row>
    <row r="6" spans="1:15" ht="146" customHeight="1">
      <c r="A6" s="9" t="s">
        <v>64</v>
      </c>
      <c r="B6" s="103" t="s">
        <v>403</v>
      </c>
      <c r="C6" s="330" t="s">
        <v>404</v>
      </c>
      <c r="D6" s="391">
        <v>1</v>
      </c>
      <c r="E6" s="391">
        <v>0</v>
      </c>
      <c r="F6" s="391">
        <v>0</v>
      </c>
      <c r="G6" s="391">
        <v>0</v>
      </c>
      <c r="H6" s="391">
        <v>0</v>
      </c>
      <c r="I6" s="391">
        <v>0</v>
      </c>
      <c r="J6" s="90">
        <f>(SUMPRODUCT(D6:I6,'Global sales'!D46:I46)/'Global sales'!J46)</f>
        <v>0.99843887208508142</v>
      </c>
      <c r="K6" s="108">
        <f t="shared" si="0"/>
        <v>99.843887208508136</v>
      </c>
      <c r="L6" s="8"/>
      <c r="M6" s="332"/>
      <c r="N6" s="12"/>
    </row>
    <row r="7" spans="1:15" ht="167" customHeight="1">
      <c r="A7" s="9" t="s">
        <v>81</v>
      </c>
      <c r="B7" s="330" t="s">
        <v>405</v>
      </c>
      <c r="C7" s="330" t="s">
        <v>398</v>
      </c>
      <c r="D7" s="391">
        <v>1</v>
      </c>
      <c r="E7" s="391">
        <v>0</v>
      </c>
      <c r="F7" s="391">
        <v>0</v>
      </c>
      <c r="G7" s="391">
        <v>0</v>
      </c>
      <c r="H7" s="391">
        <v>0</v>
      </c>
      <c r="I7" s="391">
        <v>0</v>
      </c>
      <c r="J7" s="89">
        <f>(SUMPRODUCT(D7:I7,'Global sales'!D50:I50)/'Global sales'!J50)</f>
        <v>0.99843767845005282</v>
      </c>
      <c r="K7" s="108">
        <f t="shared" si="0"/>
        <v>99.843767845005289</v>
      </c>
      <c r="L7" s="8"/>
      <c r="M7" s="332"/>
      <c r="N7" s="12"/>
    </row>
    <row r="8" spans="1:15" ht="114" customHeight="1">
      <c r="A8" s="9" t="s">
        <v>74</v>
      </c>
      <c r="B8" s="330" t="s">
        <v>406</v>
      </c>
      <c r="C8" s="330" t="s">
        <v>407</v>
      </c>
      <c r="D8" s="391">
        <v>1</v>
      </c>
      <c r="E8" s="391">
        <v>1</v>
      </c>
      <c r="F8" s="391">
        <v>1</v>
      </c>
      <c r="G8" s="391">
        <v>0</v>
      </c>
      <c r="H8" s="391">
        <v>0</v>
      </c>
      <c r="I8" s="391">
        <v>0</v>
      </c>
      <c r="J8" s="89">
        <f>(SUMPRODUCT(D8:I8,'Global sales'!D38:I38)/'Global sales'!J38)</f>
        <v>0.98648523991590453</v>
      </c>
      <c r="K8" s="108">
        <f t="shared" si="0"/>
        <v>98.648523991590451</v>
      </c>
      <c r="L8" s="8"/>
      <c r="M8" s="332"/>
      <c r="N8" s="12"/>
    </row>
    <row r="9" spans="1:15" ht="321" customHeight="1">
      <c r="A9" s="9" t="s">
        <v>72</v>
      </c>
      <c r="B9" s="330" t="s">
        <v>408</v>
      </c>
      <c r="C9" s="330" t="s">
        <v>398</v>
      </c>
      <c r="D9" s="391">
        <v>1</v>
      </c>
      <c r="E9" s="391">
        <v>1</v>
      </c>
      <c r="F9" s="391">
        <v>1</v>
      </c>
      <c r="G9" s="391">
        <v>1</v>
      </c>
      <c r="H9" s="391">
        <v>1</v>
      </c>
      <c r="I9" s="391">
        <v>1</v>
      </c>
      <c r="J9" s="89">
        <f>($J$26*'Global sales'!$K$56)+(($J$27*'Global sales'!$K$57))</f>
        <v>0.97543905095411332</v>
      </c>
      <c r="K9" s="108">
        <f t="shared" si="0"/>
        <v>97.543905095411333</v>
      </c>
      <c r="L9" s="8"/>
      <c r="M9" s="332"/>
      <c r="N9" s="12"/>
    </row>
    <row r="10" spans="1:15" ht="243" customHeight="1">
      <c r="A10" s="9" t="s">
        <v>69</v>
      </c>
      <c r="B10" s="330" t="s">
        <v>409</v>
      </c>
      <c r="C10" s="330" t="s">
        <v>410</v>
      </c>
      <c r="D10" s="391">
        <v>1</v>
      </c>
      <c r="E10" s="391">
        <v>1</v>
      </c>
      <c r="F10" s="391">
        <v>1</v>
      </c>
      <c r="G10" s="391">
        <v>0</v>
      </c>
      <c r="H10" s="391">
        <v>0</v>
      </c>
      <c r="I10" s="391">
        <v>0</v>
      </c>
      <c r="J10" s="89">
        <f>(SUMPRODUCT(D10:I10,'Global sales'!D36:I36)/'Global sales'!J36)</f>
        <v>0.97242998765071897</v>
      </c>
      <c r="K10" s="108">
        <f t="shared" si="0"/>
        <v>97.242998765071903</v>
      </c>
      <c r="L10" s="86"/>
      <c r="M10" s="332"/>
      <c r="N10" s="12"/>
    </row>
    <row r="11" spans="1:15" ht="149" customHeight="1">
      <c r="A11" s="9" t="s">
        <v>82</v>
      </c>
      <c r="B11" s="330" t="s">
        <v>411</v>
      </c>
      <c r="C11" s="330" t="s">
        <v>412</v>
      </c>
      <c r="D11" s="391">
        <v>0</v>
      </c>
      <c r="E11" s="391">
        <v>1</v>
      </c>
      <c r="F11" s="391">
        <v>0</v>
      </c>
      <c r="G11" s="391">
        <v>0</v>
      </c>
      <c r="H11" s="391">
        <v>0</v>
      </c>
      <c r="I11" s="391">
        <v>0</v>
      </c>
      <c r="J11" s="89">
        <f>(SUMPRODUCT(D11:I11,'Global sales'!D47:I47)/'Global sales'!J47)</f>
        <v>0.94927315924490541</v>
      </c>
      <c r="K11" s="108">
        <f t="shared" si="0"/>
        <v>94.927315924490543</v>
      </c>
      <c r="L11" s="8"/>
      <c r="M11" s="332"/>
      <c r="N11" s="12"/>
    </row>
    <row r="12" spans="1:15" ht="244" customHeight="1">
      <c r="A12" s="9" t="s">
        <v>71</v>
      </c>
      <c r="B12" s="330" t="s">
        <v>413</v>
      </c>
      <c r="C12" s="334" t="s">
        <v>414</v>
      </c>
      <c r="D12" s="391">
        <v>1</v>
      </c>
      <c r="E12" s="391">
        <v>1</v>
      </c>
      <c r="F12" s="391">
        <v>1</v>
      </c>
      <c r="G12" s="391">
        <v>0</v>
      </c>
      <c r="H12" s="391">
        <v>0</v>
      </c>
      <c r="I12" s="391">
        <v>0</v>
      </c>
      <c r="J12" s="89">
        <f>(SUMPRODUCT(D12:I12,'Global sales'!D44:I44)/'Global sales'!J44)</f>
        <v>0.93441909849273486</v>
      </c>
      <c r="K12" s="108">
        <f t="shared" si="0"/>
        <v>93.441909849273486</v>
      </c>
      <c r="L12" s="86"/>
      <c r="M12" s="332"/>
      <c r="N12" s="12"/>
    </row>
    <row r="13" spans="1:15" ht="243" customHeight="1">
      <c r="A13" s="9" t="s">
        <v>65</v>
      </c>
      <c r="B13" s="330" t="s">
        <v>415</v>
      </c>
      <c r="C13" s="334" t="s">
        <v>416</v>
      </c>
      <c r="D13" s="391">
        <v>1</v>
      </c>
      <c r="E13" s="391">
        <v>1</v>
      </c>
      <c r="F13" s="391">
        <v>1</v>
      </c>
      <c r="G13" s="391">
        <v>0</v>
      </c>
      <c r="H13" s="391">
        <v>0</v>
      </c>
      <c r="I13" s="391">
        <v>0</v>
      </c>
      <c r="J13" s="89">
        <f>(SUMPRODUCT(D13:I13,'Global sales'!D43:I43)/'Global sales'!J43)</f>
        <v>0.93277640506726278</v>
      </c>
      <c r="K13" s="108">
        <f t="shared" si="0"/>
        <v>93.277640506726271</v>
      </c>
      <c r="L13" s="74"/>
      <c r="M13" s="332"/>
      <c r="N13" s="12"/>
    </row>
    <row r="14" spans="1:15" ht="165" customHeight="1">
      <c r="A14" s="9" t="s">
        <v>80</v>
      </c>
      <c r="B14" s="330" t="s">
        <v>417</v>
      </c>
      <c r="C14" s="330" t="s">
        <v>398</v>
      </c>
      <c r="D14" s="391">
        <v>0</v>
      </c>
      <c r="E14" s="391">
        <v>1</v>
      </c>
      <c r="F14" s="391">
        <v>1</v>
      </c>
      <c r="G14" s="391">
        <v>0</v>
      </c>
      <c r="H14" s="391">
        <v>0</v>
      </c>
      <c r="I14" s="391">
        <v>0</v>
      </c>
      <c r="J14" s="89">
        <f>(SUMPRODUCT(D14:I14,'Global sales'!D40:I40)/'Global sales'!J40)</f>
        <v>0.9160405977931334</v>
      </c>
      <c r="K14" s="108">
        <f t="shared" si="0"/>
        <v>91.604059779313346</v>
      </c>
      <c r="L14" s="8"/>
      <c r="M14" s="332"/>
      <c r="N14" s="12"/>
    </row>
    <row r="15" spans="1:15" ht="95" customHeight="1">
      <c r="A15" s="9" t="s">
        <v>68</v>
      </c>
      <c r="B15" s="333" t="s">
        <v>588</v>
      </c>
      <c r="C15" s="103" t="s">
        <v>418</v>
      </c>
      <c r="D15" s="391">
        <v>1</v>
      </c>
      <c r="E15" s="391">
        <v>0</v>
      </c>
      <c r="F15" s="391">
        <v>0</v>
      </c>
      <c r="G15" s="391">
        <v>0</v>
      </c>
      <c r="H15" s="391">
        <v>0</v>
      </c>
      <c r="I15" s="391">
        <v>0</v>
      </c>
      <c r="J15" s="89">
        <f>(SUMPRODUCT(D15:I15,'Global sales'!D49:I49)/'Global sales'!J49)</f>
        <v>0.83172294243102673</v>
      </c>
      <c r="K15" s="108">
        <f t="shared" si="0"/>
        <v>83.172294243102669</v>
      </c>
      <c r="L15" s="8"/>
      <c r="M15" s="332"/>
      <c r="N15" s="12"/>
    </row>
    <row r="16" spans="1:15" ht="135" customHeight="1">
      <c r="A16" s="9" t="s">
        <v>79</v>
      </c>
      <c r="B16" s="330" t="s">
        <v>587</v>
      </c>
      <c r="C16" s="330" t="s">
        <v>586</v>
      </c>
      <c r="D16" s="391">
        <v>0</v>
      </c>
      <c r="E16" s="391">
        <v>1</v>
      </c>
      <c r="F16" s="391">
        <v>0</v>
      </c>
      <c r="G16" s="391">
        <v>0</v>
      </c>
      <c r="H16" s="391">
        <v>1</v>
      </c>
      <c r="I16" s="391">
        <v>0</v>
      </c>
      <c r="J16" s="89">
        <f>($J$28*'Global sales'!$K$58)+(($J$29*'Global sales'!$K$59))</f>
        <v>0.80723023389127713</v>
      </c>
      <c r="K16" s="108">
        <f t="shared" si="0"/>
        <v>80.723023389127718</v>
      </c>
      <c r="L16" s="8"/>
      <c r="M16" s="332"/>
      <c r="N16" s="12"/>
    </row>
    <row r="17" spans="1:14" ht="228" customHeight="1">
      <c r="A17" s="9" t="s">
        <v>70</v>
      </c>
      <c r="B17" s="330" t="s">
        <v>419</v>
      </c>
      <c r="C17" s="334" t="s">
        <v>589</v>
      </c>
      <c r="D17" s="391">
        <v>0</v>
      </c>
      <c r="E17" s="391">
        <v>0</v>
      </c>
      <c r="F17" s="391">
        <v>1</v>
      </c>
      <c r="G17" s="391">
        <v>0</v>
      </c>
      <c r="H17" s="391">
        <v>0</v>
      </c>
      <c r="I17" s="391">
        <v>0</v>
      </c>
      <c r="J17" s="89">
        <f>(SUMPRODUCT(D17:I17,'Global sales'!D37:I37)/'Global sales'!J37)</f>
        <v>0.73787809044857877</v>
      </c>
      <c r="K17" s="108">
        <f t="shared" si="0"/>
        <v>73.78780904485788</v>
      </c>
      <c r="L17" s="8"/>
      <c r="M17" s="332"/>
      <c r="N17" s="12"/>
    </row>
    <row r="18" spans="1:14" ht="275" customHeight="1">
      <c r="A18" s="9" t="s">
        <v>94</v>
      </c>
      <c r="B18" s="334" t="s">
        <v>420</v>
      </c>
      <c r="C18" s="330" t="s">
        <v>421</v>
      </c>
      <c r="D18" s="391">
        <v>0</v>
      </c>
      <c r="E18" s="391">
        <v>0</v>
      </c>
      <c r="F18" s="391">
        <v>1</v>
      </c>
      <c r="G18" s="391">
        <v>1</v>
      </c>
      <c r="H18" s="391">
        <v>0</v>
      </c>
      <c r="I18" s="391">
        <v>0</v>
      </c>
      <c r="J18" s="89">
        <f>(SUMPRODUCT(D18:I18,'Global sales'!D35:I35)/'Global sales'!J35)</f>
        <v>0.5910759162186715</v>
      </c>
      <c r="K18" s="108">
        <f t="shared" si="0"/>
        <v>59.107591621867151</v>
      </c>
      <c r="L18" s="528"/>
      <c r="M18" s="332"/>
      <c r="N18" s="12"/>
    </row>
    <row r="19" spans="1:14" ht="257" customHeight="1">
      <c r="A19" s="9" t="s">
        <v>89</v>
      </c>
      <c r="B19" s="330" t="s">
        <v>590</v>
      </c>
      <c r="C19" s="330" t="s">
        <v>422</v>
      </c>
      <c r="D19" s="391">
        <v>0</v>
      </c>
      <c r="E19" s="391">
        <v>1</v>
      </c>
      <c r="F19" s="391">
        <v>1</v>
      </c>
      <c r="G19" s="391">
        <v>0</v>
      </c>
      <c r="H19" s="391">
        <v>0</v>
      </c>
      <c r="I19" s="391">
        <v>0</v>
      </c>
      <c r="J19" s="89">
        <f>(SUMPRODUCT(D19:I19,'Global sales'!D39:I39)/'Global sales'!J39)</f>
        <v>0.4204620658670038</v>
      </c>
      <c r="K19" s="108">
        <f t="shared" si="0"/>
        <v>42.046206586700379</v>
      </c>
      <c r="L19" s="528"/>
      <c r="M19" s="332"/>
      <c r="N19" s="12"/>
    </row>
    <row r="20" spans="1:14" ht="169" customHeight="1">
      <c r="A20" s="9" t="s">
        <v>91</v>
      </c>
      <c r="B20" s="330" t="s">
        <v>423</v>
      </c>
      <c r="C20" s="330" t="s">
        <v>424</v>
      </c>
      <c r="D20" s="391">
        <v>0</v>
      </c>
      <c r="E20" s="391">
        <v>1</v>
      </c>
      <c r="F20" s="391">
        <v>0</v>
      </c>
      <c r="G20" s="391">
        <v>1</v>
      </c>
      <c r="H20" s="391">
        <v>0</v>
      </c>
      <c r="I20" s="391">
        <v>0</v>
      </c>
      <c r="J20" s="89">
        <f>(SUMPRODUCT(D20:I20,'Global sales'!D42:I42)/'Global sales'!J42)</f>
        <v>0.33143993242610348</v>
      </c>
      <c r="K20" s="108">
        <f t="shared" si="0"/>
        <v>33.14399324261035</v>
      </c>
      <c r="L20" s="528"/>
      <c r="M20" s="332"/>
      <c r="N20" s="12"/>
    </row>
    <row r="21" spans="1:14" ht="162" customHeight="1">
      <c r="A21" s="9" t="s">
        <v>99</v>
      </c>
      <c r="B21" s="330" t="s">
        <v>425</v>
      </c>
      <c r="C21" s="330" t="s">
        <v>426</v>
      </c>
      <c r="D21" s="391">
        <v>0</v>
      </c>
      <c r="E21" s="391">
        <v>0</v>
      </c>
      <c r="F21" s="391">
        <v>0</v>
      </c>
      <c r="G21" s="391">
        <v>0</v>
      </c>
      <c r="H21" s="391">
        <v>0</v>
      </c>
      <c r="I21" s="391">
        <v>0</v>
      </c>
      <c r="J21" s="89">
        <f>(SUMPRODUCT(D21:I21,'Global sales'!D41:I41)/'Global sales'!J41)</f>
        <v>0</v>
      </c>
      <c r="K21" s="108">
        <f t="shared" si="0"/>
        <v>0</v>
      </c>
      <c r="L21" s="8"/>
      <c r="M21" s="332"/>
      <c r="N21" s="12"/>
    </row>
    <row r="22" spans="1:14" ht="61" customHeight="1">
      <c r="A22" s="78" t="s">
        <v>97</v>
      </c>
      <c r="B22" s="330" t="s">
        <v>427</v>
      </c>
      <c r="C22" s="330" t="s">
        <v>398</v>
      </c>
      <c r="D22" s="391">
        <v>0</v>
      </c>
      <c r="E22" s="391">
        <v>0</v>
      </c>
      <c r="F22" s="391">
        <v>0</v>
      </c>
      <c r="G22" s="391">
        <v>0</v>
      </c>
      <c r="H22" s="391">
        <v>0</v>
      </c>
      <c r="I22" s="391">
        <v>0</v>
      </c>
      <c r="J22" s="89">
        <f>(SUMPRODUCT(D22:I22,'Global sales'!D60:I60)/'Global sales'!J60)</f>
        <v>0</v>
      </c>
      <c r="K22" s="108">
        <f t="shared" si="0"/>
        <v>0</v>
      </c>
      <c r="L22" s="86"/>
      <c r="M22" s="332"/>
      <c r="N22" s="12"/>
    </row>
    <row r="23" spans="1:14" ht="19" customHeight="1">
      <c r="A23" s="21"/>
      <c r="B23" s="335"/>
      <c r="C23" s="335"/>
      <c r="D23" s="337"/>
      <c r="E23" s="337"/>
      <c r="F23" s="337"/>
      <c r="G23" s="337"/>
      <c r="H23" s="337"/>
      <c r="I23" s="337"/>
      <c r="J23" s="21"/>
      <c r="K23" s="337"/>
      <c r="L23" s="8"/>
      <c r="M23" s="332"/>
      <c r="N23" s="12"/>
    </row>
    <row r="24" spans="1:14" ht="19" customHeight="1">
      <c r="A24" s="165" t="s">
        <v>192</v>
      </c>
      <c r="B24" s="335"/>
      <c r="C24" s="335"/>
      <c r="D24" s="392">
        <v>1</v>
      </c>
      <c r="E24" s="392">
        <v>1</v>
      </c>
      <c r="F24" s="392">
        <v>1</v>
      </c>
      <c r="G24" s="392">
        <v>1</v>
      </c>
      <c r="H24" s="392">
        <v>1</v>
      </c>
      <c r="I24" s="392">
        <v>1</v>
      </c>
      <c r="J24" s="336">
        <f>(SUMPRODUCT(D24:I24,'Global sales'!D54:I54)/'Global sales'!J54)</f>
        <v>1</v>
      </c>
      <c r="K24" s="337"/>
      <c r="L24" s="369"/>
      <c r="M24" s="332"/>
      <c r="N24" s="12"/>
    </row>
    <row r="25" spans="1:14" ht="19" customHeight="1">
      <c r="A25" s="165" t="s">
        <v>193</v>
      </c>
      <c r="B25" s="338"/>
      <c r="C25" s="338"/>
      <c r="D25" s="392">
        <v>1</v>
      </c>
      <c r="E25" s="392">
        <v>1</v>
      </c>
      <c r="F25" s="392">
        <v>1</v>
      </c>
      <c r="G25" s="392">
        <v>1</v>
      </c>
      <c r="H25" s="392">
        <v>1</v>
      </c>
      <c r="I25" s="392">
        <v>1</v>
      </c>
      <c r="J25" s="336">
        <f>(SUMPRODUCT(D25:I25,'Global sales'!D55:I55)/'Global sales'!J55)</f>
        <v>1</v>
      </c>
      <c r="K25" s="337"/>
      <c r="L25" s="74"/>
      <c r="M25" s="332"/>
      <c r="N25" s="12"/>
    </row>
    <row r="26" spans="1:14" ht="19" customHeight="1">
      <c r="A26" s="165" t="s">
        <v>259</v>
      </c>
      <c r="B26" s="335"/>
      <c r="C26" s="338" t="s">
        <v>100</v>
      </c>
      <c r="D26" s="392">
        <v>1</v>
      </c>
      <c r="E26" s="392">
        <v>0</v>
      </c>
      <c r="F26" s="392">
        <v>0</v>
      </c>
      <c r="G26" s="392">
        <v>0</v>
      </c>
      <c r="H26" s="392">
        <v>0</v>
      </c>
      <c r="I26" s="392">
        <v>0</v>
      </c>
      <c r="J26" s="336">
        <f>(SUMPRODUCT(D26:I26,'Global sales'!D56:I56)/'Global sales'!J56)</f>
        <v>0.96536608972367799</v>
      </c>
      <c r="K26" s="337"/>
      <c r="L26" s="8"/>
      <c r="M26" s="332"/>
      <c r="N26" s="12"/>
    </row>
    <row r="27" spans="1:14" ht="19" customHeight="1">
      <c r="A27" s="165" t="s">
        <v>428</v>
      </c>
      <c r="B27" s="338"/>
      <c r="C27" s="339"/>
      <c r="D27" s="392">
        <v>1</v>
      </c>
      <c r="E27" s="392">
        <v>1</v>
      </c>
      <c r="F27" s="392">
        <v>1</v>
      </c>
      <c r="G27" s="392">
        <v>1</v>
      </c>
      <c r="H27" s="392">
        <v>1</v>
      </c>
      <c r="I27" s="392">
        <v>1</v>
      </c>
      <c r="J27" s="336">
        <f>(SUMPRODUCT(D27:I27,'Global sales'!D57:I57)/'Global sales'!J57)</f>
        <v>1</v>
      </c>
      <c r="K27" s="337"/>
      <c r="L27" s="8"/>
      <c r="M27" s="332"/>
      <c r="N27" s="12"/>
    </row>
    <row r="28" spans="1:14" ht="19" customHeight="1">
      <c r="A28" s="165" t="s">
        <v>273</v>
      </c>
      <c r="B28" s="335"/>
      <c r="C28" s="335"/>
      <c r="D28" s="392">
        <v>0</v>
      </c>
      <c r="E28" s="392">
        <v>0</v>
      </c>
      <c r="F28" s="392">
        <v>0</v>
      </c>
      <c r="G28" s="392">
        <v>0</v>
      </c>
      <c r="H28" s="392">
        <v>1</v>
      </c>
      <c r="I28" s="392">
        <v>0</v>
      </c>
      <c r="J28" s="336">
        <f>(SUMPRODUCT(D28:I28,'Global sales'!D58:I58)/'Global sales'!J58)</f>
        <v>1</v>
      </c>
      <c r="K28" s="337"/>
      <c r="L28" s="8"/>
      <c r="M28" s="332"/>
      <c r="N28" s="12"/>
    </row>
    <row r="29" spans="1:14" ht="19" customHeight="1">
      <c r="A29" s="165" t="s">
        <v>429</v>
      </c>
      <c r="B29" s="338"/>
      <c r="C29" s="335"/>
      <c r="D29" s="392">
        <v>0</v>
      </c>
      <c r="E29" s="392">
        <v>1</v>
      </c>
      <c r="F29" s="392">
        <v>0</v>
      </c>
      <c r="G29" s="392">
        <v>0</v>
      </c>
      <c r="H29" s="392">
        <v>0</v>
      </c>
      <c r="I29" s="392">
        <v>0</v>
      </c>
      <c r="J29" s="336">
        <f>(SUMPRODUCT(D29:I29,'Global sales'!D59:I59)/'Global sales'!J59)</f>
        <v>0.41218757574461412</v>
      </c>
      <c r="K29" s="21"/>
    </row>
    <row r="30" spans="1:14" ht="19" customHeight="1">
      <c r="A30" s="21"/>
      <c r="B30" s="335"/>
      <c r="C30" s="335"/>
      <c r="D30" s="337"/>
      <c r="E30" s="337"/>
      <c r="F30" s="337"/>
      <c r="G30" s="337"/>
      <c r="H30" s="337"/>
      <c r="I30" s="337"/>
      <c r="J30" s="21"/>
      <c r="K30" s="21"/>
    </row>
    <row r="31" spans="1:14" ht="19" customHeight="1">
      <c r="A31" s="21"/>
      <c r="B31" s="335"/>
      <c r="C31" s="335"/>
      <c r="D31" s="337"/>
      <c r="E31" s="337"/>
      <c r="F31" s="337"/>
      <c r="G31" s="337"/>
      <c r="H31" s="337"/>
      <c r="I31" s="337"/>
      <c r="J31" s="21"/>
      <c r="K31" s="21"/>
      <c r="L31" s="6"/>
      <c r="M31" s="6"/>
    </row>
    <row r="32" spans="1:14" s="84" customFormat="1" ht="19" customHeight="1">
      <c r="A32" s="21" t="s">
        <v>430</v>
      </c>
      <c r="B32" s="21"/>
      <c r="C32" s="335"/>
      <c r="D32" s="393"/>
      <c r="E32" s="337"/>
      <c r="F32" s="337"/>
      <c r="G32" s="337"/>
      <c r="H32" s="337"/>
      <c r="I32" s="337"/>
      <c r="J32" s="21"/>
      <c r="K32" s="338"/>
      <c r="L32" s="116"/>
    </row>
    <row r="33" spans="1:13" s="84" customFormat="1" ht="19" customHeight="1">
      <c r="A33" s="340" t="s">
        <v>126</v>
      </c>
      <c r="B33" s="340" t="s">
        <v>36</v>
      </c>
      <c r="C33" s="341" t="s">
        <v>134</v>
      </c>
      <c r="D33" s="394" t="s">
        <v>161</v>
      </c>
      <c r="E33" s="394" t="s">
        <v>395</v>
      </c>
      <c r="F33" s="394" t="s">
        <v>137</v>
      </c>
      <c r="G33" s="394" t="s">
        <v>138</v>
      </c>
      <c r="H33" s="394" t="s">
        <v>139</v>
      </c>
      <c r="I33" s="395" t="s">
        <v>396</v>
      </c>
      <c r="J33" s="341" t="s">
        <v>431</v>
      </c>
      <c r="K33" s="338"/>
      <c r="L33" s="116"/>
    </row>
    <row r="34" spans="1:13" s="84" customFormat="1" ht="19" customHeight="1">
      <c r="A34" s="342">
        <f>_xlfn.XLOOKUP(B34,'Global sales'!$K$3:$K$30,'Global sales'!$L$3:$L$30)</f>
        <v>1</v>
      </c>
      <c r="B34" s="339" t="s">
        <v>94</v>
      </c>
      <c r="C34" s="343"/>
      <c r="D34" s="396"/>
      <c r="E34" s="396">
        <v>1</v>
      </c>
      <c r="F34" s="396">
        <v>1</v>
      </c>
      <c r="G34" s="396"/>
      <c r="H34" s="396"/>
      <c r="I34" s="397">
        <f>(SUMPRODUCT(C34:H34,'Global sales'!D35:I35)/'Global sales'!J35)</f>
        <v>0.5910759162186715</v>
      </c>
      <c r="J34" s="344">
        <f>I34</f>
        <v>0.5910759162186715</v>
      </c>
      <c r="K34" s="338"/>
      <c r="L34" s="116"/>
    </row>
    <row r="35" spans="1:13" s="84" customFormat="1" ht="19" customHeight="1">
      <c r="A35" s="342">
        <f>_xlfn.XLOOKUP(B35,'Global sales'!$K$3:$K$30,'Global sales'!$L$3:$L$30)</f>
        <v>2</v>
      </c>
      <c r="B35" s="339" t="s">
        <v>69</v>
      </c>
      <c r="C35" s="343"/>
      <c r="D35" s="396">
        <v>1</v>
      </c>
      <c r="E35" s="396">
        <v>1</v>
      </c>
      <c r="F35" s="396"/>
      <c r="G35" s="396"/>
      <c r="H35" s="396"/>
      <c r="I35" s="397">
        <f>(SUMPRODUCT(C35:H35,'Global sales'!D36:I36)/'Global sales'!J36)</f>
        <v>0.55336718108502891</v>
      </c>
      <c r="J35" s="344">
        <f t="shared" ref="J35:J42" si="1">I35</f>
        <v>0.55336718108502891</v>
      </c>
      <c r="K35" s="338"/>
      <c r="L35" s="116"/>
    </row>
    <row r="36" spans="1:13" s="84" customFormat="1" ht="19" customHeight="1">
      <c r="A36" s="342">
        <f>_xlfn.XLOOKUP(B36,'Global sales'!$K$3:$K$30,'Global sales'!$L$3:$L$30)</f>
        <v>3</v>
      </c>
      <c r="B36" s="339" t="s">
        <v>70</v>
      </c>
      <c r="C36" s="343"/>
      <c r="D36" s="396"/>
      <c r="E36" s="396">
        <v>1</v>
      </c>
      <c r="F36" s="396"/>
      <c r="G36" s="396"/>
      <c r="H36" s="396"/>
      <c r="I36" s="397">
        <f>(SUMPRODUCT(C36:H36,'Global sales'!D37:I37)/'Global sales'!J37)</f>
        <v>0.73787809044857877</v>
      </c>
      <c r="J36" s="344">
        <f t="shared" si="1"/>
        <v>0.73787809044857877</v>
      </c>
      <c r="K36" s="338"/>
      <c r="L36" s="116"/>
    </row>
    <row r="37" spans="1:13" s="84" customFormat="1" ht="19" customHeight="1">
      <c r="A37" s="342">
        <f>_xlfn.XLOOKUP(B37,'Global sales'!$K$3:$K$30,'Global sales'!$L$3:$L$30)</f>
        <v>4</v>
      </c>
      <c r="B37" s="339" t="s">
        <v>74</v>
      </c>
      <c r="C37" s="343">
        <v>1</v>
      </c>
      <c r="D37" s="396">
        <v>1</v>
      </c>
      <c r="E37" s="396">
        <v>1</v>
      </c>
      <c r="F37" s="396"/>
      <c r="G37" s="396"/>
      <c r="H37" s="396"/>
      <c r="I37" s="397">
        <f>(SUMPRODUCT(C37:H37,'Global sales'!D38:I38)/'Global sales'!J38)</f>
        <v>0.98648523991590453</v>
      </c>
      <c r="J37" s="344">
        <f t="shared" si="1"/>
        <v>0.98648523991590453</v>
      </c>
      <c r="K37" s="338"/>
      <c r="L37" s="116"/>
    </row>
    <row r="38" spans="1:13" s="84" customFormat="1" ht="19" customHeight="1">
      <c r="A38" s="342">
        <f>_xlfn.XLOOKUP(B38,'Global sales'!$K$3:$K$30,'Global sales'!$L$3:$L$30)</f>
        <v>5</v>
      </c>
      <c r="B38" s="339" t="s">
        <v>89</v>
      </c>
      <c r="C38" s="343"/>
      <c r="D38" s="396">
        <v>1</v>
      </c>
      <c r="E38" s="396">
        <v>1</v>
      </c>
      <c r="F38" s="396"/>
      <c r="G38" s="396"/>
      <c r="H38" s="396"/>
      <c r="I38" s="397">
        <f>(SUMPRODUCT(C38:H38,'Global sales'!D39:I39)/'Global sales'!J39)</f>
        <v>0.4204620658670038</v>
      </c>
      <c r="J38" s="344">
        <f t="shared" si="1"/>
        <v>0.4204620658670038</v>
      </c>
      <c r="K38" s="338"/>
      <c r="L38" s="116"/>
    </row>
    <row r="39" spans="1:13" s="84" customFormat="1" ht="19" customHeight="1">
      <c r="A39" s="342">
        <f>_xlfn.XLOOKUP(B39,'Global sales'!$K$3:$K$30,'Global sales'!$L$3:$L$30)</f>
        <v>6</v>
      </c>
      <c r="B39" s="339" t="s">
        <v>80</v>
      </c>
      <c r="C39" s="343"/>
      <c r="D39" s="396">
        <v>1</v>
      </c>
      <c r="E39" s="396">
        <v>1</v>
      </c>
      <c r="F39" s="396"/>
      <c r="G39" s="396"/>
      <c r="H39" s="396"/>
      <c r="I39" s="397">
        <f>(SUMPRODUCT(C39:H39,'Global sales'!D40:I40)/'Global sales'!J40)</f>
        <v>0.9160405977931334</v>
      </c>
      <c r="J39" s="344">
        <f t="shared" si="1"/>
        <v>0.9160405977931334</v>
      </c>
      <c r="K39" s="338"/>
      <c r="L39" s="116"/>
    </row>
    <row r="40" spans="1:13" s="84" customFormat="1" ht="19" customHeight="1">
      <c r="A40" s="342">
        <f>_xlfn.XLOOKUP(B40,'Global sales'!$K$3:$K$30,'Global sales'!$L$3:$L$30)</f>
        <v>7</v>
      </c>
      <c r="B40" s="339" t="s">
        <v>99</v>
      </c>
      <c r="C40" s="343"/>
      <c r="D40" s="396"/>
      <c r="E40" s="396"/>
      <c r="F40" s="396">
        <v>0</v>
      </c>
      <c r="G40" s="396"/>
      <c r="H40" s="396"/>
      <c r="I40" s="397">
        <f>(SUMPRODUCT(C40:H40,'Global sales'!D41:I41)/'Global sales'!J41)</f>
        <v>0</v>
      </c>
      <c r="J40" s="344">
        <f t="shared" si="1"/>
        <v>0</v>
      </c>
      <c r="K40" s="338"/>
      <c r="L40" s="116"/>
    </row>
    <row r="41" spans="1:13" s="84" customFormat="1" ht="19" customHeight="1">
      <c r="A41" s="342">
        <f>_xlfn.XLOOKUP(B41,'Global sales'!$K$3:$K$30,'Global sales'!$L$3:$L$30)</f>
        <v>8</v>
      </c>
      <c r="B41" s="339" t="s">
        <v>91</v>
      </c>
      <c r="C41" s="343"/>
      <c r="D41" s="396"/>
      <c r="E41" s="396"/>
      <c r="F41" s="396"/>
      <c r="G41" s="396"/>
      <c r="H41" s="396"/>
      <c r="I41" s="397">
        <f>(SUMPRODUCT(C41:H41,'Global sales'!D42:I42)/'Global sales'!J42)</f>
        <v>0</v>
      </c>
      <c r="J41" s="344">
        <f t="shared" si="1"/>
        <v>0</v>
      </c>
      <c r="K41" s="338"/>
      <c r="L41" s="116"/>
      <c r="M41" s="121"/>
    </row>
    <row r="42" spans="1:13" s="84" customFormat="1" ht="19" customHeight="1">
      <c r="A42" s="342">
        <f>_xlfn.XLOOKUP(B42,'Global sales'!$K$3:$K$30,'Global sales'!$L$3:$L$30)</f>
        <v>9</v>
      </c>
      <c r="B42" s="339" t="s">
        <v>65</v>
      </c>
      <c r="C42" s="343">
        <v>1</v>
      </c>
      <c r="D42" s="396">
        <v>1</v>
      </c>
      <c r="E42" s="396">
        <v>1</v>
      </c>
      <c r="F42" s="396"/>
      <c r="G42" s="396"/>
      <c r="H42" s="396"/>
      <c r="I42" s="397">
        <f>(SUMPRODUCT(C42:H42,'Global sales'!D43:I43)/'Global sales'!J43)</f>
        <v>0.93277640506726278</v>
      </c>
      <c r="J42" s="344">
        <f t="shared" si="1"/>
        <v>0.93277640506726278</v>
      </c>
      <c r="K42" s="338"/>
      <c r="L42" s="116"/>
    </row>
    <row r="43" spans="1:13" s="84" customFormat="1" ht="19" customHeight="1">
      <c r="A43" s="342">
        <f>_xlfn.XLOOKUP(B43,'Global sales'!$K$3:$K$30,'Global sales'!$L$3:$L$30)</f>
        <v>10</v>
      </c>
      <c r="B43" s="339" t="s">
        <v>221</v>
      </c>
      <c r="C43" s="343">
        <v>1</v>
      </c>
      <c r="D43" s="396">
        <v>1</v>
      </c>
      <c r="E43" s="396">
        <v>1</v>
      </c>
      <c r="F43" s="396"/>
      <c r="G43" s="396"/>
      <c r="H43" s="396"/>
      <c r="I43" s="397">
        <f>(SUMPRODUCT(C43:H43,'Global sales'!D44:I44)/'Global sales'!J44)</f>
        <v>0.93441909849273486</v>
      </c>
      <c r="J43" s="344">
        <f t="shared" ref="J43:J49" si="2">I43</f>
        <v>0.93441909849273486</v>
      </c>
      <c r="K43" s="338"/>
      <c r="L43" s="116"/>
    </row>
    <row r="44" spans="1:13" s="84" customFormat="1" ht="19" customHeight="1">
      <c r="A44" s="342">
        <f>_xlfn.XLOOKUP(B44,'Global sales'!$K$3:$K$30,'Global sales'!$L$3:$L$30)</f>
        <v>11</v>
      </c>
      <c r="B44" s="339" t="s">
        <v>76</v>
      </c>
      <c r="C44" s="343">
        <v>1</v>
      </c>
      <c r="D44" s="396"/>
      <c r="E44" s="396"/>
      <c r="F44" s="396"/>
      <c r="G44" s="396"/>
      <c r="H44" s="396"/>
      <c r="I44" s="397">
        <f>(SUMPRODUCT(C44:H44,'Global sales'!D45:I45)/'Global sales'!J45)</f>
        <v>1</v>
      </c>
      <c r="J44" s="344">
        <f t="shared" si="2"/>
        <v>1</v>
      </c>
      <c r="K44" s="338"/>
      <c r="L44" s="116"/>
    </row>
    <row r="45" spans="1:13" s="84" customFormat="1" ht="19" customHeight="1">
      <c r="A45" s="342">
        <f>_xlfn.XLOOKUP(B45,'Global sales'!$K$3:$K$30,'Global sales'!$L$3:$L$30)</f>
        <v>12</v>
      </c>
      <c r="B45" s="339" t="s">
        <v>64</v>
      </c>
      <c r="C45" s="343">
        <v>1</v>
      </c>
      <c r="D45" s="396"/>
      <c r="E45" s="396"/>
      <c r="F45" s="396"/>
      <c r="G45" s="396"/>
      <c r="H45" s="396"/>
      <c r="I45" s="397">
        <f>(SUMPRODUCT(C45:H45,'Global sales'!D46:I46)/'Global sales'!J46)</f>
        <v>0.99843887208508142</v>
      </c>
      <c r="J45" s="344">
        <f t="shared" si="2"/>
        <v>0.99843887208508142</v>
      </c>
      <c r="K45" s="338"/>
      <c r="L45" s="116"/>
    </row>
    <row r="46" spans="1:13" s="84" customFormat="1" ht="19" customHeight="1">
      <c r="A46" s="342">
        <f>_xlfn.XLOOKUP(B46,'Global sales'!$K$3:$K$30,'Global sales'!$L$3:$L$30)</f>
        <v>13</v>
      </c>
      <c r="B46" s="339" t="s">
        <v>82</v>
      </c>
      <c r="C46" s="343"/>
      <c r="D46" s="396">
        <v>1</v>
      </c>
      <c r="E46" s="396"/>
      <c r="F46" s="396"/>
      <c r="G46" s="396"/>
      <c r="H46" s="396"/>
      <c r="I46" s="397">
        <f>(SUMPRODUCT(C46:H46,'Global sales'!D47:I47)/'Global sales'!J47)</f>
        <v>0.94927315924490541</v>
      </c>
      <c r="J46" s="344">
        <f t="shared" si="2"/>
        <v>0.94927315924490541</v>
      </c>
      <c r="K46" s="338"/>
      <c r="L46" s="116"/>
    </row>
    <row r="47" spans="1:13" s="84" customFormat="1" ht="19" customHeight="1">
      <c r="A47" s="342">
        <f>_xlfn.XLOOKUP(B47,'Global sales'!$K$3:$K$30,'Global sales'!$L$3:$L$30)</f>
        <v>14</v>
      </c>
      <c r="B47" s="339" t="s">
        <v>61</v>
      </c>
      <c r="C47" s="343">
        <v>1</v>
      </c>
      <c r="D47" s="396">
        <v>1</v>
      </c>
      <c r="E47" s="396">
        <v>1</v>
      </c>
      <c r="F47" s="396"/>
      <c r="G47" s="396"/>
      <c r="H47" s="396"/>
      <c r="I47" s="397">
        <f>(SUMPRODUCT(C47:H47,'Global sales'!D48:I48)/'Global sales'!J48)</f>
        <v>1</v>
      </c>
      <c r="J47" s="344">
        <f t="shared" si="2"/>
        <v>1</v>
      </c>
      <c r="K47" s="338"/>
      <c r="L47" s="116"/>
    </row>
    <row r="48" spans="1:13" s="84" customFormat="1" ht="19" customHeight="1">
      <c r="A48" s="342">
        <f>_xlfn.XLOOKUP(B48,'Global sales'!$K$3:$K$30,'Global sales'!$L$3:$L$30)</f>
        <v>15</v>
      </c>
      <c r="B48" s="339" t="s">
        <v>68</v>
      </c>
      <c r="C48" s="343">
        <v>1</v>
      </c>
      <c r="D48" s="396"/>
      <c r="E48" s="396"/>
      <c r="F48" s="396"/>
      <c r="G48" s="396"/>
      <c r="H48" s="396"/>
      <c r="I48" s="397">
        <f>(SUMPRODUCT(C48:H48,'Global sales'!D49:I49)/'Global sales'!J49)</f>
        <v>0.83172294243102673</v>
      </c>
      <c r="J48" s="344">
        <f t="shared" si="2"/>
        <v>0.83172294243102673</v>
      </c>
      <c r="K48" s="338"/>
      <c r="L48" s="116"/>
    </row>
    <row r="49" spans="1:12" s="84" customFormat="1" ht="19" customHeight="1">
      <c r="A49" s="342">
        <f>_xlfn.XLOOKUP(B49,'Global sales'!$K$3:$K$30,'Global sales'!$L$3:$L$30)</f>
        <v>17</v>
      </c>
      <c r="B49" s="339" t="s">
        <v>81</v>
      </c>
      <c r="C49" s="343">
        <v>1</v>
      </c>
      <c r="D49" s="396"/>
      <c r="E49" s="396"/>
      <c r="F49" s="396"/>
      <c r="G49" s="396"/>
      <c r="H49" s="396"/>
      <c r="I49" s="397">
        <f>(SUMPRODUCT(C49:H49,'Global sales'!D50:I50)/'Global sales'!J50)</f>
        <v>0.99843767845005282</v>
      </c>
      <c r="J49" s="344">
        <f t="shared" si="2"/>
        <v>0.99843767845005282</v>
      </c>
      <c r="K49" s="338"/>
      <c r="L49" s="116"/>
    </row>
    <row r="50" spans="1:12" s="84" customFormat="1" ht="19" customHeight="1">
      <c r="A50" s="342">
        <f>_xlfn.XLOOKUP(B50,'Global sales'!$K$3:$K$30,'Global sales'!$L$3:$L$30)</f>
        <v>21</v>
      </c>
      <c r="B50" s="339" t="s">
        <v>192</v>
      </c>
      <c r="C50" s="343">
        <v>1</v>
      </c>
      <c r="D50" s="396">
        <v>1</v>
      </c>
      <c r="E50" s="396">
        <v>1</v>
      </c>
      <c r="F50" s="396">
        <v>1</v>
      </c>
      <c r="G50" s="396">
        <v>1</v>
      </c>
      <c r="H50" s="396">
        <v>1</v>
      </c>
      <c r="I50" s="397">
        <f>(SUMPRODUCT(C50:H50,'Global sales'!D54:I54)/'Global sales'!J54)</f>
        <v>1</v>
      </c>
      <c r="J50" s="344">
        <f t="shared" ref="J50:J56" si="3">I50</f>
        <v>1</v>
      </c>
      <c r="K50" s="338"/>
      <c r="L50" s="116"/>
    </row>
    <row r="51" spans="1:12" s="84" customFormat="1" ht="19" customHeight="1">
      <c r="A51" s="342">
        <f>_xlfn.XLOOKUP(B51,'Global sales'!$K$3:$K$30,'Global sales'!$L$3:$L$30)</f>
        <v>22</v>
      </c>
      <c r="B51" s="339" t="s">
        <v>193</v>
      </c>
      <c r="C51" s="343">
        <v>1</v>
      </c>
      <c r="D51" s="396">
        <v>1</v>
      </c>
      <c r="E51" s="396">
        <v>1</v>
      </c>
      <c r="F51" s="396">
        <v>1</v>
      </c>
      <c r="G51" s="396">
        <v>1</v>
      </c>
      <c r="H51" s="396">
        <v>1</v>
      </c>
      <c r="I51" s="397">
        <f>(SUMPRODUCT(C51:H51,'Global sales'!D55:I55)/'Global sales'!J55)</f>
        <v>1</v>
      </c>
      <c r="J51" s="344">
        <f t="shared" si="3"/>
        <v>1</v>
      </c>
      <c r="K51" s="338"/>
      <c r="L51" s="116"/>
    </row>
    <row r="52" spans="1:12" s="84" customFormat="1" ht="19" customHeight="1">
      <c r="A52" s="342">
        <f>_xlfn.XLOOKUP(B52,'Global sales'!$K$3:$K$30,'Global sales'!$L$3:$L$30)</f>
        <v>23</v>
      </c>
      <c r="B52" s="339" t="s">
        <v>259</v>
      </c>
      <c r="C52" s="343">
        <v>1</v>
      </c>
      <c r="D52" s="396"/>
      <c r="E52" s="396"/>
      <c r="F52" s="396"/>
      <c r="G52" s="396"/>
      <c r="H52" s="396"/>
      <c r="I52" s="397">
        <f>(SUMPRODUCT(C52:H52,'Global sales'!D56:I56)/'Global sales'!J56)</f>
        <v>0.96536608972367799</v>
      </c>
      <c r="J52" s="344">
        <f t="shared" si="3"/>
        <v>0.96536608972367799</v>
      </c>
      <c r="K52" s="338"/>
      <c r="L52" s="116"/>
    </row>
    <row r="53" spans="1:12" s="84" customFormat="1" ht="19" customHeight="1">
      <c r="A53" s="342">
        <f>_xlfn.XLOOKUP(B53,'Global sales'!$K$3:$K$30,'Global sales'!$L$3:$L$30)</f>
        <v>24</v>
      </c>
      <c r="B53" s="339" t="s">
        <v>428</v>
      </c>
      <c r="C53" s="343">
        <v>1</v>
      </c>
      <c r="D53" s="396">
        <v>1</v>
      </c>
      <c r="E53" s="396">
        <v>1</v>
      </c>
      <c r="F53" s="396">
        <v>1</v>
      </c>
      <c r="G53" s="396">
        <v>1</v>
      </c>
      <c r="H53" s="396">
        <v>1</v>
      </c>
      <c r="I53" s="397">
        <f>(SUMPRODUCT(C53:H53,'Global sales'!D57:I57)/'Global sales'!J57)</f>
        <v>1</v>
      </c>
      <c r="J53" s="344">
        <f t="shared" si="3"/>
        <v>1</v>
      </c>
      <c r="K53" s="338"/>
      <c r="L53" s="116"/>
    </row>
    <row r="54" spans="1:12" s="84" customFormat="1" ht="19" customHeight="1">
      <c r="A54" s="342">
        <f>_xlfn.XLOOKUP(B54,'Global sales'!$K$3:$K$30,'Global sales'!$L$3:$L$30)</f>
        <v>25</v>
      </c>
      <c r="B54" s="339" t="s">
        <v>273</v>
      </c>
      <c r="C54" s="343"/>
      <c r="D54" s="396"/>
      <c r="E54" s="396"/>
      <c r="F54" s="396"/>
      <c r="G54" s="396">
        <v>1</v>
      </c>
      <c r="H54" s="396"/>
      <c r="I54" s="397">
        <f>(SUMPRODUCT(C54:H54,'Global sales'!D58:I58)/'Global sales'!J58)</f>
        <v>1</v>
      </c>
      <c r="J54" s="344">
        <f t="shared" si="3"/>
        <v>1</v>
      </c>
      <c r="K54" s="338"/>
      <c r="L54" s="116"/>
    </row>
    <row r="55" spans="1:12" s="84" customFormat="1" ht="19" customHeight="1">
      <c r="A55" s="342">
        <f>_xlfn.XLOOKUP(B55,'Global sales'!$K$3:$K$30,'Global sales'!$L$3:$L$30)</f>
        <v>26</v>
      </c>
      <c r="B55" s="339" t="s">
        <v>429</v>
      </c>
      <c r="C55" s="343"/>
      <c r="D55" s="396">
        <v>1</v>
      </c>
      <c r="E55" s="396"/>
      <c r="F55" s="396"/>
      <c r="G55" s="396"/>
      <c r="H55" s="396"/>
      <c r="I55" s="397">
        <f>(SUMPRODUCT(C55:H55,'Global sales'!D59:I59)/'Global sales'!J59)</f>
        <v>0.41218757574461412</v>
      </c>
      <c r="J55" s="344">
        <f t="shared" si="3"/>
        <v>0.41218757574461412</v>
      </c>
      <c r="K55" s="338"/>
      <c r="L55" s="116"/>
    </row>
    <row r="56" spans="1:12" ht="19" customHeight="1">
      <c r="A56" s="342">
        <f>_xlfn.XLOOKUP(B56,'Global sales'!$K$3:$K$30,'Global sales'!$L$3:$L$30)</f>
        <v>28</v>
      </c>
      <c r="B56" s="339" t="s">
        <v>97</v>
      </c>
      <c r="C56" s="343"/>
      <c r="D56" s="396"/>
      <c r="E56" s="396"/>
      <c r="F56" s="396"/>
      <c r="G56" s="396"/>
      <c r="H56" s="396"/>
      <c r="I56" s="397">
        <f>(SUMPRODUCT(C56:H56,'Global sales'!D60:I60)/'Global sales'!J60)</f>
        <v>0</v>
      </c>
      <c r="J56" s="344">
        <f t="shared" si="3"/>
        <v>0</v>
      </c>
      <c r="K56" s="21"/>
      <c r="L56" s="91"/>
    </row>
    <row r="57" spans="1:12" ht="19" customHeight="1">
      <c r="A57" s="342">
        <f>_xlfn.XLOOKUP(B57,'Global sales'!$K$3:$K$30,'Global sales'!$L$3:$L$30)</f>
        <v>16</v>
      </c>
      <c r="B57" s="339" t="s">
        <v>90</v>
      </c>
      <c r="C57" s="343">
        <v>1</v>
      </c>
      <c r="D57" s="396"/>
      <c r="E57" s="396"/>
      <c r="F57" s="396"/>
      <c r="G57" s="396"/>
      <c r="H57" s="396"/>
      <c r="I57" s="397">
        <f>(SUMPRODUCT(C57:H57,'Global sales'!D61:I61)/'Global sales'!J61)</f>
        <v>1</v>
      </c>
      <c r="J57" s="344">
        <f t="shared" ref="J57" si="4">I57</f>
        <v>1</v>
      </c>
      <c r="K57" s="21"/>
      <c r="L57" s="91"/>
    </row>
    <row r="58" spans="1:12" ht="19" customHeight="1">
      <c r="A58" s="21"/>
      <c r="B58" s="21"/>
      <c r="C58" s="21"/>
      <c r="D58" s="337"/>
      <c r="E58" s="337"/>
      <c r="F58" s="337"/>
      <c r="G58" s="337"/>
      <c r="H58" s="337"/>
      <c r="I58" s="337"/>
      <c r="J58" s="21"/>
      <c r="K58" s="21"/>
      <c r="L58" s="91"/>
    </row>
    <row r="59" spans="1:12" s="84" customFormat="1" ht="19" customHeight="1">
      <c r="A59" s="21" t="s">
        <v>432</v>
      </c>
      <c r="B59" s="21"/>
      <c r="C59" s="21"/>
      <c r="D59" s="337"/>
      <c r="E59" s="337"/>
      <c r="F59" s="337"/>
      <c r="G59" s="337"/>
      <c r="H59" s="337"/>
      <c r="I59" s="337"/>
      <c r="J59" s="21"/>
      <c r="K59" s="338"/>
      <c r="L59" s="116"/>
    </row>
    <row r="60" spans="1:12" s="84" customFormat="1" ht="19" customHeight="1">
      <c r="A60" s="340" t="s">
        <v>126</v>
      </c>
      <c r="B60" s="340" t="s">
        <v>36</v>
      </c>
      <c r="C60" s="341" t="s">
        <v>134</v>
      </c>
      <c r="D60" s="394" t="s">
        <v>161</v>
      </c>
      <c r="E60" s="394" t="s">
        <v>395</v>
      </c>
      <c r="F60" s="394" t="s">
        <v>137</v>
      </c>
      <c r="G60" s="394" t="s">
        <v>138</v>
      </c>
      <c r="H60" s="394" t="s">
        <v>139</v>
      </c>
      <c r="I60" s="395" t="s">
        <v>396</v>
      </c>
      <c r="J60" s="341" t="s">
        <v>431</v>
      </c>
      <c r="K60" s="338"/>
      <c r="L60" s="116"/>
    </row>
    <row r="61" spans="1:12" s="84" customFormat="1" ht="19" customHeight="1">
      <c r="A61" s="342">
        <f>_xlfn.XLOOKUP(B61,'Global sales'!$K$3:$K$30,'Global sales'!$L$3:$L$30)</f>
        <v>1</v>
      </c>
      <c r="B61" s="339" t="s">
        <v>94</v>
      </c>
      <c r="C61" s="343"/>
      <c r="D61" s="396"/>
      <c r="E61" s="396"/>
      <c r="F61" s="396">
        <v>1</v>
      </c>
      <c r="G61" s="396"/>
      <c r="H61" s="396"/>
      <c r="I61" s="397">
        <f>(SUMPRODUCT(C61:H61,'Global sales'!D35:I35)/'Global sales'!J35)</f>
        <v>0.29563473136191831</v>
      </c>
      <c r="J61" s="344">
        <f t="shared" ref="J61:J71" si="5">I61</f>
        <v>0.29563473136191831</v>
      </c>
      <c r="K61" s="338"/>
      <c r="L61" s="116"/>
    </row>
    <row r="62" spans="1:12" s="84" customFormat="1" ht="19" customHeight="1">
      <c r="A62" s="342">
        <f>_xlfn.XLOOKUP(B62,'Global sales'!$K$3:$K$30,'Global sales'!$L$3:$L$30)</f>
        <v>2</v>
      </c>
      <c r="B62" s="339" t="s">
        <v>69</v>
      </c>
      <c r="C62" s="343">
        <v>1</v>
      </c>
      <c r="D62" s="396"/>
      <c r="E62" s="396"/>
      <c r="F62" s="396"/>
      <c r="G62" s="396"/>
      <c r="H62" s="396"/>
      <c r="I62" s="397">
        <f>(SUMPRODUCT(C62:H62,'Global sales'!D36:I36)/'Global sales'!J36)</f>
        <v>0.41906280656569006</v>
      </c>
      <c r="J62" s="344">
        <f t="shared" si="5"/>
        <v>0.41906280656569006</v>
      </c>
      <c r="K62" s="338"/>
      <c r="L62" s="116"/>
    </row>
    <row r="63" spans="1:12" s="84" customFormat="1" ht="19" customHeight="1">
      <c r="A63" s="342">
        <f>_xlfn.XLOOKUP(B63,'Global sales'!$K$3:$K$30,'Global sales'!$L$3:$L$30)</f>
        <v>3</v>
      </c>
      <c r="B63" s="339" t="s">
        <v>70</v>
      </c>
      <c r="C63" s="343"/>
      <c r="D63" s="396"/>
      <c r="E63" s="396">
        <v>1</v>
      </c>
      <c r="F63" s="396"/>
      <c r="G63" s="396"/>
      <c r="H63" s="396"/>
      <c r="I63" s="397">
        <f>(SUMPRODUCT(C63:H63,'Global sales'!D37:I37)/'Global sales'!J37)</f>
        <v>0.73787809044857877</v>
      </c>
      <c r="J63" s="344">
        <f t="shared" si="5"/>
        <v>0.73787809044857877</v>
      </c>
      <c r="K63" s="338"/>
      <c r="L63" s="116"/>
    </row>
    <row r="64" spans="1:12" s="84" customFormat="1" ht="19" customHeight="1">
      <c r="A64" s="342">
        <f>_xlfn.XLOOKUP(B64,'Global sales'!$K$3:$K$30,'Global sales'!$L$3:$L$30)</f>
        <v>4</v>
      </c>
      <c r="B64" s="339" t="s">
        <v>74</v>
      </c>
      <c r="C64" s="343"/>
      <c r="D64" s="396">
        <v>1</v>
      </c>
      <c r="E64" s="396">
        <v>1</v>
      </c>
      <c r="F64" s="396"/>
      <c r="G64" s="396"/>
      <c r="H64" s="396"/>
      <c r="I64" s="397">
        <f>(SUMPRODUCT(C64:H64,'Global sales'!D38:I38)/'Global sales'!J38)</f>
        <v>0.96758830281176589</v>
      </c>
      <c r="J64" s="344">
        <f t="shared" si="5"/>
        <v>0.96758830281176589</v>
      </c>
      <c r="K64" s="338"/>
      <c r="L64" s="116"/>
    </row>
    <row r="65" spans="1:12" s="84" customFormat="1" ht="19" customHeight="1">
      <c r="A65" s="342">
        <f>_xlfn.XLOOKUP(B65,'Global sales'!$K$3:$K$30,'Global sales'!$L$3:$L$30)</f>
        <v>5</v>
      </c>
      <c r="B65" s="339" t="s">
        <v>89</v>
      </c>
      <c r="C65" s="343"/>
      <c r="D65" s="396">
        <v>1</v>
      </c>
      <c r="E65" s="396"/>
      <c r="F65" s="396"/>
      <c r="G65" s="396"/>
      <c r="H65" s="396"/>
      <c r="I65" s="397">
        <f>(SUMPRODUCT(C65:H65,'Global sales'!D39:I39)/'Global sales'!J39)</f>
        <v>1.8720697088004168E-2</v>
      </c>
      <c r="J65" s="344">
        <f t="shared" si="5"/>
        <v>1.8720697088004168E-2</v>
      </c>
      <c r="K65" s="338"/>
      <c r="L65" s="116"/>
    </row>
    <row r="66" spans="1:12" s="84" customFormat="1" ht="19" customHeight="1">
      <c r="A66" s="342">
        <f>_xlfn.XLOOKUP(B66,'Global sales'!$K$3:$K$30,'Global sales'!$L$3:$L$30)</f>
        <v>6</v>
      </c>
      <c r="B66" s="339" t="s">
        <v>80</v>
      </c>
      <c r="C66" s="343"/>
      <c r="D66" s="396"/>
      <c r="E66" s="396"/>
      <c r="F66" s="396"/>
      <c r="G66" s="396"/>
      <c r="H66" s="396"/>
      <c r="I66" s="397">
        <f>(SUMPRODUCT(C66:H66,'Global sales'!D40:I40)/'Global sales'!J40)</f>
        <v>0</v>
      </c>
      <c r="J66" s="344">
        <f t="shared" si="5"/>
        <v>0</v>
      </c>
      <c r="K66" s="338"/>
      <c r="L66" s="116"/>
    </row>
    <row r="67" spans="1:12" s="84" customFormat="1" ht="19" customHeight="1">
      <c r="A67" s="342">
        <f>_xlfn.XLOOKUP(B67,'Global sales'!$K$3:$K$30,'Global sales'!$L$3:$L$30)</f>
        <v>7</v>
      </c>
      <c r="B67" s="339" t="s">
        <v>99</v>
      </c>
      <c r="C67" s="343"/>
      <c r="D67" s="396"/>
      <c r="E67" s="396"/>
      <c r="F67" s="396">
        <v>0</v>
      </c>
      <c r="G67" s="396"/>
      <c r="H67" s="396"/>
      <c r="I67" s="397">
        <f>(SUMPRODUCT(C67:H67,'Global sales'!D41:I41)/'Global sales'!J41)</f>
        <v>0</v>
      </c>
      <c r="J67" s="344">
        <f t="shared" si="5"/>
        <v>0</v>
      </c>
      <c r="K67" s="338"/>
      <c r="L67" s="116"/>
    </row>
    <row r="68" spans="1:12" s="84" customFormat="1" ht="19" customHeight="1">
      <c r="A68" s="342">
        <f>_xlfn.XLOOKUP(B68,'Global sales'!$K$3:$K$30,'Global sales'!$L$3:$L$30)</f>
        <v>8</v>
      </c>
      <c r="B68" s="339" t="s">
        <v>91</v>
      </c>
      <c r="C68" s="343"/>
      <c r="D68" s="396">
        <v>1</v>
      </c>
      <c r="E68" s="396"/>
      <c r="F68" s="396">
        <v>1</v>
      </c>
      <c r="G68" s="396"/>
      <c r="H68" s="396"/>
      <c r="I68" s="397">
        <f>(SUMPRODUCT(C68:H68,'Global sales'!D42:I42)/'Global sales'!J42)</f>
        <v>0.33143993242610348</v>
      </c>
      <c r="J68" s="344">
        <f t="shared" si="5"/>
        <v>0.33143993242610348</v>
      </c>
      <c r="K68" s="338"/>
      <c r="L68" s="116"/>
    </row>
    <row r="69" spans="1:12" s="84" customFormat="1" ht="19" customHeight="1">
      <c r="A69" s="342">
        <f>_xlfn.XLOOKUP(B69,'Global sales'!$K$3:$K$30,'Global sales'!$L$3:$L$30)</f>
        <v>9</v>
      </c>
      <c r="B69" s="339" t="s">
        <v>65</v>
      </c>
      <c r="C69" s="343">
        <v>1</v>
      </c>
      <c r="D69" s="396">
        <v>1</v>
      </c>
      <c r="E69" s="396"/>
      <c r="F69" s="396"/>
      <c r="G69" s="396"/>
      <c r="H69" s="396"/>
      <c r="I69" s="397">
        <f>(SUMPRODUCT(C69:H69,'Global sales'!D43:I43)/'Global sales'!J43)</f>
        <v>0.7596536411691136</v>
      </c>
      <c r="J69" s="344">
        <f t="shared" si="5"/>
        <v>0.7596536411691136</v>
      </c>
      <c r="K69" s="338"/>
      <c r="L69" s="116"/>
    </row>
    <row r="70" spans="1:12" s="84" customFormat="1" ht="19" customHeight="1">
      <c r="A70" s="342">
        <f>_xlfn.XLOOKUP(B70,'Global sales'!$K$3:$K$30,'Global sales'!$L$3:$L$30)</f>
        <v>10</v>
      </c>
      <c r="B70" s="339" t="s">
        <v>71</v>
      </c>
      <c r="C70" s="343"/>
      <c r="D70" s="396">
        <v>1</v>
      </c>
      <c r="E70" s="396"/>
      <c r="F70" s="396"/>
      <c r="G70" s="396"/>
      <c r="H70" s="396"/>
      <c r="I70" s="397">
        <f>(SUMPRODUCT(C70:H70,'Global sales'!D44:I44)/'Global sales'!J44)</f>
        <v>0.40883196089765372</v>
      </c>
      <c r="J70" s="344">
        <f t="shared" si="5"/>
        <v>0.40883196089765372</v>
      </c>
      <c r="K70" s="338"/>
      <c r="L70" s="116"/>
    </row>
    <row r="71" spans="1:12" s="84" customFormat="1" ht="19" customHeight="1">
      <c r="A71" s="342">
        <f>_xlfn.XLOOKUP(B71,'Global sales'!$K$3:$K$30,'Global sales'!$L$3:$L$30)</f>
        <v>11</v>
      </c>
      <c r="B71" s="339" t="s">
        <v>76</v>
      </c>
      <c r="C71" s="343"/>
      <c r="D71" s="396"/>
      <c r="E71" s="396"/>
      <c r="F71" s="396"/>
      <c r="G71" s="396"/>
      <c r="H71" s="396"/>
      <c r="I71" s="397">
        <f>(SUMPRODUCT(C71:H71,'Global sales'!D45:I45)/'Global sales'!J45)</f>
        <v>0</v>
      </c>
      <c r="J71" s="344">
        <f t="shared" si="5"/>
        <v>0</v>
      </c>
      <c r="K71" s="338"/>
      <c r="L71" s="116"/>
    </row>
    <row r="72" spans="1:12" s="84" customFormat="1" ht="19" customHeight="1">
      <c r="A72" s="342">
        <f>_xlfn.XLOOKUP(B72,'Global sales'!$K$3:$K$30,'Global sales'!$L$3:$L$30)</f>
        <v>12</v>
      </c>
      <c r="B72" s="339" t="s">
        <v>64</v>
      </c>
      <c r="C72" s="343">
        <v>1</v>
      </c>
      <c r="D72" s="396"/>
      <c r="E72" s="396"/>
      <c r="F72" s="396"/>
      <c r="G72" s="396"/>
      <c r="H72" s="396"/>
      <c r="I72" s="397">
        <f>(SUMPRODUCT(C72:H72,'Global sales'!D46:I46)/'Global sales'!J46)</f>
        <v>0.99843887208508142</v>
      </c>
      <c r="J72" s="344">
        <f>I72</f>
        <v>0.99843887208508142</v>
      </c>
      <c r="K72" s="338"/>
      <c r="L72" s="116"/>
    </row>
    <row r="73" spans="1:12" s="84" customFormat="1" ht="19" customHeight="1">
      <c r="A73" s="342">
        <f>_xlfn.XLOOKUP(B73,'Global sales'!$K$3:$K$30,'Global sales'!$L$3:$L$30)</f>
        <v>13</v>
      </c>
      <c r="B73" s="339" t="s">
        <v>82</v>
      </c>
      <c r="C73" s="343"/>
      <c r="D73" s="396">
        <v>1</v>
      </c>
      <c r="E73" s="396"/>
      <c r="F73" s="396"/>
      <c r="G73" s="396"/>
      <c r="H73" s="396"/>
      <c r="I73" s="397">
        <f>(SUMPRODUCT(C73:H73,'Global sales'!D47:I47)/'Global sales'!J47)</f>
        <v>0.94927315924490541</v>
      </c>
      <c r="J73" s="344">
        <f>I73</f>
        <v>0.94927315924490541</v>
      </c>
      <c r="K73" s="338"/>
      <c r="L73" s="116"/>
    </row>
    <row r="74" spans="1:12" s="84" customFormat="1" ht="19" customHeight="1">
      <c r="A74" s="342">
        <f>_xlfn.XLOOKUP(B74,'Global sales'!$K$3:$K$30,'Global sales'!$L$3:$L$30)</f>
        <v>14</v>
      </c>
      <c r="B74" s="339" t="s">
        <v>61</v>
      </c>
      <c r="C74" s="343"/>
      <c r="D74" s="396"/>
      <c r="E74" s="396"/>
      <c r="F74" s="396"/>
      <c r="G74" s="396"/>
      <c r="H74" s="396"/>
      <c r="I74" s="397">
        <f>(SUMPRODUCT(C74:H74,'Global sales'!D48:I48)/'Global sales'!J48)</f>
        <v>0</v>
      </c>
      <c r="J74" s="344">
        <f>I74</f>
        <v>0</v>
      </c>
      <c r="K74" s="338"/>
      <c r="L74" s="116"/>
    </row>
    <row r="75" spans="1:12" s="84" customFormat="1" ht="19" customHeight="1">
      <c r="A75" s="342">
        <f>_xlfn.XLOOKUP(B75,'Global sales'!$K$3:$K$30,'Global sales'!$L$3:$L$30)</f>
        <v>15</v>
      </c>
      <c r="B75" s="339" t="s">
        <v>68</v>
      </c>
      <c r="C75" s="343">
        <v>1</v>
      </c>
      <c r="D75" s="396"/>
      <c r="E75" s="396"/>
      <c r="F75" s="396"/>
      <c r="G75" s="396"/>
      <c r="H75" s="396"/>
      <c r="I75" s="397">
        <f>(SUMPRODUCT(C75:H75,'Global sales'!D49:I49)/'Global sales'!J49)</f>
        <v>0.83172294243102673</v>
      </c>
      <c r="J75" s="344">
        <f>I75</f>
        <v>0.83172294243102673</v>
      </c>
      <c r="K75" s="338"/>
      <c r="L75" s="116"/>
    </row>
    <row r="76" spans="1:12" s="84" customFormat="1" ht="19" customHeight="1">
      <c r="A76" s="342">
        <f>_xlfn.XLOOKUP(B76,'Global sales'!$K$3:$K$30,'Global sales'!$L$3:$L$30)</f>
        <v>17</v>
      </c>
      <c r="B76" s="339" t="s">
        <v>81</v>
      </c>
      <c r="C76" s="343"/>
      <c r="D76" s="396"/>
      <c r="E76" s="396"/>
      <c r="F76" s="396"/>
      <c r="G76" s="396"/>
      <c r="H76" s="396"/>
      <c r="I76" s="397">
        <f>(SUMPRODUCT(C76:H76,'Global sales'!D50:I50)/'Global sales'!J50)</f>
        <v>0</v>
      </c>
      <c r="J76" s="344">
        <f>I76</f>
        <v>0</v>
      </c>
      <c r="K76" s="338"/>
      <c r="L76" s="116"/>
    </row>
    <row r="77" spans="1:12" s="84" customFormat="1" ht="19" customHeight="1">
      <c r="A77" s="342">
        <f>_xlfn.XLOOKUP(B77,'Global sales'!$K$3:$K$30,'Global sales'!$L$3:$L$30)</f>
        <v>21</v>
      </c>
      <c r="B77" s="339" t="s">
        <v>192</v>
      </c>
      <c r="C77" s="343">
        <v>1</v>
      </c>
      <c r="D77" s="396">
        <v>1</v>
      </c>
      <c r="E77" s="396">
        <v>1</v>
      </c>
      <c r="F77" s="396">
        <v>1</v>
      </c>
      <c r="G77" s="396">
        <v>1</v>
      </c>
      <c r="H77" s="396">
        <v>1</v>
      </c>
      <c r="I77" s="397">
        <f>(SUMPRODUCT(C77:H77,'Global sales'!D54:I54)/'Global sales'!J54)</f>
        <v>1</v>
      </c>
      <c r="J77" s="344">
        <f t="shared" ref="J77:J82" si="6">I77</f>
        <v>1</v>
      </c>
      <c r="K77" s="338"/>
      <c r="L77" s="116"/>
    </row>
    <row r="78" spans="1:12" s="84" customFormat="1" ht="19" customHeight="1">
      <c r="A78" s="342">
        <f>_xlfn.XLOOKUP(B78,'Global sales'!$K$3:$K$30,'Global sales'!$L$3:$L$30)</f>
        <v>22</v>
      </c>
      <c r="B78" s="339" t="s">
        <v>193</v>
      </c>
      <c r="C78" s="343"/>
      <c r="D78" s="396">
        <v>1</v>
      </c>
      <c r="E78" s="396"/>
      <c r="F78" s="396"/>
      <c r="G78" s="396"/>
      <c r="H78" s="396"/>
      <c r="I78" s="397">
        <f>(SUMPRODUCT(C78:H78,'Global sales'!D55:I55)/'Global sales'!J55)</f>
        <v>0.25615452053345639</v>
      </c>
      <c r="J78" s="344">
        <f t="shared" si="6"/>
        <v>0.25615452053345639</v>
      </c>
      <c r="K78" s="338"/>
      <c r="L78" s="116"/>
    </row>
    <row r="79" spans="1:12" s="84" customFormat="1" ht="19" customHeight="1">
      <c r="A79" s="342">
        <f>_xlfn.XLOOKUP(B79,'Global sales'!$K$3:$K$30,'Global sales'!$L$3:$L$30)</f>
        <v>23</v>
      </c>
      <c r="B79" s="339" t="s">
        <v>259</v>
      </c>
      <c r="C79" s="343"/>
      <c r="D79" s="396"/>
      <c r="E79" s="396"/>
      <c r="F79" s="396"/>
      <c r="G79" s="396"/>
      <c r="H79" s="396"/>
      <c r="I79" s="397">
        <f>(SUMPRODUCT(C79:H79,'Global sales'!D56:I56)/'Global sales'!J56)</f>
        <v>0</v>
      </c>
      <c r="J79" s="344">
        <f t="shared" si="6"/>
        <v>0</v>
      </c>
      <c r="K79" s="338"/>
      <c r="L79" s="116"/>
    </row>
    <row r="80" spans="1:12" s="84" customFormat="1" ht="19" customHeight="1">
      <c r="A80" s="342">
        <f>_xlfn.XLOOKUP(B80,'Global sales'!$K$3:$K$30,'Global sales'!$L$3:$L$30)</f>
        <v>24</v>
      </c>
      <c r="B80" s="339" t="s">
        <v>428</v>
      </c>
      <c r="C80" s="343">
        <v>1</v>
      </c>
      <c r="D80" s="396">
        <v>1</v>
      </c>
      <c r="E80" s="396">
        <v>1</v>
      </c>
      <c r="F80" s="396">
        <v>1</v>
      </c>
      <c r="G80" s="396">
        <v>1</v>
      </c>
      <c r="H80" s="396">
        <v>1</v>
      </c>
      <c r="I80" s="397">
        <f>(SUMPRODUCT(C80:H80,'Global sales'!D57:I57)/'Global sales'!J57)</f>
        <v>1</v>
      </c>
      <c r="J80" s="344">
        <f t="shared" si="6"/>
        <v>1</v>
      </c>
      <c r="K80" s="338"/>
      <c r="L80" s="116"/>
    </row>
    <row r="81" spans="1:12" s="84" customFormat="1" ht="19" customHeight="1">
      <c r="A81" s="342">
        <f>_xlfn.XLOOKUP(B81,'Global sales'!$K$3:$K$30,'Global sales'!$L$3:$L$30)</f>
        <v>25</v>
      </c>
      <c r="B81" s="339" t="s">
        <v>273</v>
      </c>
      <c r="C81" s="343"/>
      <c r="D81" s="396"/>
      <c r="E81" s="396"/>
      <c r="F81" s="396"/>
      <c r="G81" s="396"/>
      <c r="H81" s="396"/>
      <c r="I81" s="398">
        <f>(SUMPRODUCT(C81:H81,'Global sales'!D58:I58)/'Global sales'!J58)</f>
        <v>0</v>
      </c>
      <c r="J81" s="344">
        <f t="shared" si="6"/>
        <v>0</v>
      </c>
      <c r="K81" s="338"/>
      <c r="L81" s="87"/>
    </row>
    <row r="82" spans="1:12" ht="19" customHeight="1">
      <c r="A82" s="342">
        <f>_xlfn.XLOOKUP(B82,'Global sales'!$K$3:$K$30,'Global sales'!$L$3:$L$30)</f>
        <v>26</v>
      </c>
      <c r="B82" s="339" t="s">
        <v>429</v>
      </c>
      <c r="C82" s="343"/>
      <c r="D82" s="396">
        <v>1</v>
      </c>
      <c r="E82" s="396"/>
      <c r="F82" s="396"/>
      <c r="G82" s="396"/>
      <c r="H82" s="396"/>
      <c r="I82" s="397">
        <f>(SUMPRODUCT(C82:H82,'Global sales'!D59:I59)/'Global sales'!J59)</f>
        <v>0.41218757574461412</v>
      </c>
      <c r="J82" s="344">
        <f t="shared" si="6"/>
        <v>0.41218757574461412</v>
      </c>
      <c r="K82" s="21"/>
    </row>
    <row r="83" spans="1:12" ht="19" customHeight="1">
      <c r="A83" s="342">
        <f>_xlfn.XLOOKUP(B83,'Global sales'!$K$3:$K$30,'Global sales'!$L$3:$L$30)</f>
        <v>28</v>
      </c>
      <c r="B83" s="339" t="s">
        <v>97</v>
      </c>
      <c r="C83" s="343"/>
      <c r="D83" s="396"/>
      <c r="E83" s="396"/>
      <c r="F83" s="396"/>
      <c r="G83" s="396"/>
      <c r="H83" s="396"/>
      <c r="I83" s="397">
        <f>(SUMPRODUCT(C83:H83,'Global sales'!D60:I60)/'Global sales'!J60)</f>
        <v>0</v>
      </c>
      <c r="J83" s="344">
        <f>I83</f>
        <v>0</v>
      </c>
      <c r="K83" s="21"/>
    </row>
    <row r="84" spans="1:12">
      <c r="A84" s="342">
        <f>_xlfn.XLOOKUP(B84,'Global sales'!$K$3:$K$30,'Global sales'!$L$3:$L$30)</f>
        <v>16</v>
      </c>
      <c r="B84" s="335" t="s">
        <v>90</v>
      </c>
      <c r="C84" s="21">
        <v>1</v>
      </c>
      <c r="D84" s="337"/>
      <c r="E84" s="337"/>
      <c r="F84" s="337"/>
      <c r="G84" s="337"/>
      <c r="H84" s="337"/>
      <c r="I84" s="397">
        <f>(SUMPRODUCT(C84:H84,'Global sales'!D61:I61)/'Global sales'!J61)</f>
        <v>1</v>
      </c>
      <c r="J84" s="344">
        <f>I84</f>
        <v>1</v>
      </c>
      <c r="K84" s="21"/>
    </row>
    <row r="85" spans="1:12">
      <c r="A85" s="21"/>
      <c r="B85" s="335"/>
      <c r="C85" s="335"/>
      <c r="D85" s="337"/>
      <c r="E85" s="337"/>
      <c r="F85" s="337"/>
      <c r="G85" s="337"/>
      <c r="H85" s="337"/>
      <c r="I85" s="337"/>
      <c r="J85" s="21"/>
      <c r="K85" s="21"/>
    </row>
    <row r="86" spans="1:12">
      <c r="A86" s="21"/>
      <c r="B86" s="335"/>
      <c r="C86" s="335"/>
      <c r="D86" s="337"/>
      <c r="E86" s="337"/>
      <c r="F86" s="337"/>
      <c r="G86" s="337"/>
      <c r="H86" s="337"/>
      <c r="I86" s="337"/>
      <c r="J86" s="21"/>
      <c r="K86" s="21"/>
    </row>
    <row r="87" spans="1:12">
      <c r="A87" s="21"/>
      <c r="B87" s="335"/>
      <c r="C87" s="335"/>
      <c r="D87" s="337"/>
      <c r="E87" s="337"/>
      <c r="F87" s="337"/>
      <c r="G87" s="337"/>
      <c r="H87" s="337"/>
      <c r="I87" s="337"/>
      <c r="J87" s="21"/>
      <c r="K87" s="21"/>
    </row>
    <row r="88" spans="1:12">
      <c r="A88" s="21"/>
      <c r="B88" s="335"/>
      <c r="C88" s="335"/>
      <c r="D88" s="337"/>
      <c r="E88" s="337"/>
      <c r="F88" s="337"/>
      <c r="G88" s="337"/>
      <c r="H88" s="337"/>
      <c r="I88" s="337"/>
      <c r="J88" s="21"/>
      <c r="K88" s="21"/>
    </row>
    <row r="89" spans="1:12">
      <c r="A89" s="21"/>
      <c r="B89" s="335"/>
      <c r="C89" s="335"/>
      <c r="D89" s="337"/>
      <c r="E89" s="337"/>
      <c r="F89" s="337"/>
      <c r="G89" s="337"/>
      <c r="H89" s="337"/>
      <c r="I89" s="337"/>
      <c r="J89" s="21"/>
      <c r="K89" s="21"/>
    </row>
    <row r="90" spans="1:12">
      <c r="A90" s="21"/>
      <c r="B90" s="335"/>
      <c r="C90" s="335"/>
      <c r="D90" s="337"/>
      <c r="E90" s="337"/>
      <c r="F90" s="337"/>
      <c r="G90" s="337"/>
      <c r="H90" s="337"/>
      <c r="I90" s="337"/>
      <c r="J90" s="21"/>
      <c r="K90" s="21"/>
    </row>
    <row r="91" spans="1:12">
      <c r="A91" s="21"/>
      <c r="B91" s="335"/>
      <c r="C91" s="335"/>
      <c r="D91" s="337"/>
      <c r="E91" s="337"/>
      <c r="F91" s="337"/>
      <c r="G91" s="337"/>
      <c r="H91" s="337"/>
      <c r="I91" s="337"/>
      <c r="J91" s="21"/>
      <c r="K91" s="21"/>
    </row>
    <row r="92" spans="1:12">
      <c r="A92" s="21"/>
      <c r="B92" s="335"/>
      <c r="C92" s="335"/>
      <c r="D92" s="337"/>
      <c r="E92" s="337"/>
      <c r="F92" s="337"/>
      <c r="G92" s="337"/>
      <c r="H92" s="337"/>
      <c r="I92" s="337"/>
      <c r="J92" s="298"/>
      <c r="K92" s="21"/>
    </row>
    <row r="93" spans="1:12">
      <c r="A93" s="21"/>
      <c r="B93" s="335"/>
      <c r="C93" s="335"/>
      <c r="D93" s="337"/>
      <c r="E93" s="337"/>
      <c r="F93" s="337"/>
      <c r="G93" s="337"/>
      <c r="H93" s="337"/>
      <c r="I93" s="337"/>
      <c r="J93" s="21"/>
      <c r="K93" s="21"/>
    </row>
    <row r="94" spans="1:12">
      <c r="A94" s="21"/>
      <c r="B94" s="335"/>
      <c r="C94" s="335"/>
      <c r="D94" s="337"/>
      <c r="E94" s="337"/>
      <c r="F94" s="337"/>
      <c r="G94" s="337"/>
      <c r="H94" s="337"/>
      <c r="I94" s="337"/>
      <c r="J94" s="21"/>
      <c r="K94" s="21"/>
    </row>
    <row r="95" spans="1:12">
      <c r="A95" s="21"/>
      <c r="B95" s="335"/>
      <c r="C95" s="335"/>
      <c r="D95" s="337"/>
      <c r="E95" s="337"/>
      <c r="F95" s="337"/>
      <c r="G95" s="337"/>
      <c r="H95" s="337"/>
      <c r="I95" s="337"/>
      <c r="J95" s="21"/>
      <c r="K95" s="21"/>
    </row>
    <row r="96" spans="1:12">
      <c r="A96" s="21"/>
      <c r="B96" s="335"/>
      <c r="C96" s="335"/>
      <c r="D96" s="337"/>
      <c r="E96" s="337"/>
      <c r="F96" s="337"/>
      <c r="G96" s="337"/>
      <c r="H96" s="337"/>
      <c r="I96" s="337"/>
      <c r="J96" s="21"/>
      <c r="K96" s="21"/>
    </row>
    <row r="97" spans="1:11">
      <c r="A97" s="21"/>
      <c r="B97" s="335"/>
      <c r="C97" s="335"/>
      <c r="D97" s="337"/>
      <c r="E97" s="337"/>
      <c r="F97" s="337"/>
      <c r="G97" s="337"/>
      <c r="H97" s="337"/>
      <c r="I97" s="337"/>
      <c r="J97" s="21"/>
      <c r="K97" s="21"/>
    </row>
    <row r="98" spans="1:11">
      <c r="A98" s="21"/>
      <c r="B98" s="335"/>
      <c r="C98" s="335"/>
      <c r="D98" s="337"/>
      <c r="E98" s="337"/>
      <c r="F98" s="337"/>
      <c r="G98" s="337"/>
      <c r="H98" s="337"/>
      <c r="I98" s="337"/>
      <c r="J98" s="21"/>
      <c r="K98" s="21"/>
    </row>
    <row r="99" spans="1:11">
      <c r="A99" s="21"/>
      <c r="B99" s="335"/>
      <c r="C99" s="335"/>
      <c r="D99" s="337"/>
      <c r="E99" s="337"/>
      <c r="F99" s="337"/>
      <c r="G99" s="337"/>
      <c r="H99" s="337"/>
      <c r="I99" s="337"/>
      <c r="J99" s="21"/>
      <c r="K99" s="21"/>
    </row>
    <row r="100" spans="1:11">
      <c r="A100" s="21"/>
      <c r="B100" s="335"/>
      <c r="C100" s="335"/>
      <c r="D100" s="337"/>
      <c r="E100" s="337"/>
      <c r="F100" s="337"/>
      <c r="G100" s="337"/>
      <c r="H100" s="337"/>
      <c r="I100" s="337"/>
      <c r="J100" s="21"/>
      <c r="K100" s="21"/>
    </row>
    <row r="101" spans="1:11">
      <c r="A101" s="21"/>
      <c r="B101" s="335"/>
      <c r="C101" s="335"/>
      <c r="D101" s="337"/>
      <c r="E101" s="337"/>
      <c r="F101" s="337"/>
      <c r="G101" s="337"/>
      <c r="H101" s="337"/>
      <c r="I101" s="337"/>
      <c r="J101" s="21"/>
      <c r="K101" s="21"/>
    </row>
    <row r="102" spans="1:11">
      <c r="A102" s="74"/>
      <c r="B102" s="345"/>
      <c r="C102" s="345"/>
      <c r="D102" s="399"/>
      <c r="E102" s="399"/>
      <c r="F102" s="399"/>
      <c r="G102" s="399"/>
      <c r="H102" s="399"/>
      <c r="I102" s="399"/>
      <c r="J102" s="74"/>
      <c r="K102" s="74"/>
    </row>
    <row r="103" spans="1:11">
      <c r="A103" s="74"/>
      <c r="B103" s="345"/>
      <c r="C103" s="345"/>
      <c r="D103" s="399"/>
      <c r="E103" s="399"/>
      <c r="F103" s="399"/>
      <c r="G103" s="399"/>
      <c r="H103" s="399"/>
      <c r="I103" s="399"/>
      <c r="J103" s="74"/>
      <c r="K103" s="74"/>
    </row>
    <row r="104" spans="1:11">
      <c r="A104" s="74"/>
      <c r="B104" s="345"/>
      <c r="C104" s="345"/>
      <c r="D104" s="399"/>
      <c r="E104" s="399"/>
      <c r="F104" s="399"/>
      <c r="G104" s="399"/>
      <c r="H104" s="399"/>
      <c r="I104" s="399"/>
      <c r="J104" s="74"/>
      <c r="K104" s="74"/>
    </row>
    <row r="105" spans="1:11">
      <c r="A105" s="74"/>
      <c r="B105" s="345"/>
      <c r="C105" s="345"/>
      <c r="D105" s="399"/>
      <c r="E105" s="399"/>
      <c r="F105" s="399"/>
      <c r="G105" s="399"/>
      <c r="H105" s="399"/>
      <c r="I105" s="399"/>
      <c r="J105" s="74"/>
      <c r="K105" s="74"/>
    </row>
    <row r="106" spans="1:11">
      <c r="A106" s="74"/>
      <c r="B106" s="345"/>
      <c r="C106" s="345"/>
      <c r="D106" s="399"/>
      <c r="E106" s="399"/>
      <c r="F106" s="399"/>
      <c r="G106" s="399"/>
      <c r="H106" s="399"/>
      <c r="I106" s="399"/>
      <c r="J106" s="74"/>
      <c r="K106" s="74"/>
    </row>
    <row r="107" spans="1:11">
      <c r="A107" s="74"/>
      <c r="B107" s="345"/>
      <c r="C107" s="345"/>
      <c r="D107" s="399"/>
      <c r="E107" s="399"/>
      <c r="F107" s="399"/>
      <c r="G107" s="399"/>
      <c r="H107" s="399"/>
      <c r="I107" s="399"/>
      <c r="J107" s="74"/>
      <c r="K107" s="74"/>
    </row>
    <row r="108" spans="1:11">
      <c r="A108" s="74"/>
      <c r="B108" s="345"/>
      <c r="C108" s="345"/>
      <c r="D108" s="399"/>
      <c r="E108" s="399"/>
      <c r="F108" s="399"/>
      <c r="G108" s="399"/>
      <c r="H108" s="399"/>
      <c r="I108" s="399"/>
      <c r="J108" s="74"/>
      <c r="K108" s="74"/>
    </row>
    <row r="109" spans="1:11">
      <c r="A109" s="74"/>
      <c r="B109" s="345"/>
      <c r="C109" s="345"/>
      <c r="D109" s="399"/>
      <c r="E109" s="399"/>
      <c r="F109" s="399"/>
      <c r="G109" s="399"/>
      <c r="H109" s="399"/>
      <c r="I109" s="399"/>
      <c r="J109" s="74"/>
      <c r="K109" s="74"/>
    </row>
    <row r="110" spans="1:11">
      <c r="A110" s="74"/>
      <c r="B110" s="345"/>
      <c r="C110" s="345"/>
      <c r="D110" s="399"/>
      <c r="E110" s="399"/>
      <c r="F110" s="399"/>
      <c r="G110" s="399"/>
      <c r="H110" s="399"/>
      <c r="I110" s="399"/>
      <c r="J110" s="74"/>
      <c r="K110" s="74"/>
    </row>
    <row r="111" spans="1:11">
      <c r="A111" s="74"/>
      <c r="B111" s="345"/>
      <c r="C111" s="345"/>
      <c r="D111" s="399"/>
      <c r="E111" s="399"/>
      <c r="F111" s="399"/>
      <c r="G111" s="399"/>
      <c r="H111" s="399"/>
      <c r="I111" s="399"/>
      <c r="J111" s="74"/>
      <c r="K111" s="74"/>
    </row>
    <row r="112" spans="1:11">
      <c r="A112" s="74"/>
      <c r="B112" s="345"/>
      <c r="C112" s="345"/>
      <c r="D112" s="399"/>
      <c r="E112" s="399"/>
      <c r="F112" s="399"/>
      <c r="G112" s="399"/>
      <c r="H112" s="399"/>
      <c r="I112" s="399"/>
      <c r="J112" s="74"/>
      <c r="K112" s="74"/>
    </row>
    <row r="113" spans="1:11">
      <c r="A113" s="74"/>
      <c r="B113" s="345"/>
      <c r="C113" s="345"/>
      <c r="D113" s="399"/>
      <c r="E113" s="399"/>
      <c r="F113" s="399"/>
      <c r="G113" s="399"/>
      <c r="H113" s="399"/>
      <c r="I113" s="399"/>
      <c r="J113" s="74"/>
      <c r="K113" s="74"/>
    </row>
    <row r="114" spans="1:11">
      <c r="A114" s="74"/>
      <c r="B114" s="345"/>
      <c r="C114" s="345"/>
      <c r="D114" s="399"/>
      <c r="E114" s="399"/>
      <c r="F114" s="399"/>
      <c r="G114" s="399"/>
      <c r="H114" s="399"/>
      <c r="I114" s="399"/>
      <c r="J114" s="74"/>
      <c r="K114" s="74"/>
    </row>
    <row r="115" spans="1:11">
      <c r="A115" s="74"/>
      <c r="B115" s="345"/>
      <c r="C115" s="345"/>
      <c r="D115" s="399"/>
      <c r="E115" s="399"/>
      <c r="F115" s="399"/>
      <c r="G115" s="399"/>
      <c r="H115" s="399"/>
      <c r="I115" s="399"/>
      <c r="J115" s="74"/>
      <c r="K115" s="74"/>
    </row>
    <row r="116" spans="1:11">
      <c r="A116" s="74"/>
      <c r="B116" s="345"/>
      <c r="C116" s="345"/>
      <c r="D116" s="399"/>
      <c r="E116" s="399"/>
      <c r="F116" s="399"/>
      <c r="G116" s="399"/>
      <c r="H116" s="399"/>
      <c r="I116" s="399"/>
      <c r="J116" s="74"/>
      <c r="K116" s="74"/>
    </row>
    <row r="117" spans="1:11">
      <c r="A117" s="74"/>
      <c r="B117" s="345"/>
      <c r="C117" s="345"/>
      <c r="D117" s="399"/>
      <c r="E117" s="399"/>
      <c r="F117" s="399"/>
      <c r="G117" s="399"/>
      <c r="H117" s="399"/>
      <c r="I117" s="399"/>
      <c r="J117" s="74"/>
      <c r="K117" s="74"/>
    </row>
    <row r="118" spans="1:11">
      <c r="A118" s="74"/>
      <c r="B118" s="345"/>
      <c r="C118" s="345"/>
      <c r="D118" s="399"/>
      <c r="E118" s="399"/>
      <c r="F118" s="399"/>
      <c r="G118" s="399"/>
      <c r="H118" s="399"/>
      <c r="I118" s="399"/>
      <c r="J118" s="74"/>
      <c r="K118" s="74"/>
    </row>
    <row r="119" spans="1:11">
      <c r="A119" s="74"/>
      <c r="B119" s="345"/>
      <c r="C119" s="345"/>
      <c r="D119" s="399"/>
      <c r="E119" s="399"/>
      <c r="F119" s="399"/>
      <c r="G119" s="399"/>
      <c r="H119" s="399"/>
      <c r="I119" s="399"/>
      <c r="J119" s="74"/>
      <c r="K119" s="74"/>
    </row>
    <row r="120" spans="1:11">
      <c r="A120" s="74"/>
      <c r="B120" s="345"/>
      <c r="C120" s="345"/>
      <c r="D120" s="399"/>
      <c r="E120" s="399"/>
      <c r="F120" s="399"/>
      <c r="G120" s="399"/>
      <c r="H120" s="399"/>
      <c r="I120" s="399"/>
      <c r="J120" s="74"/>
      <c r="K120" s="74"/>
    </row>
    <row r="121" spans="1:11">
      <c r="A121" s="74"/>
      <c r="B121" s="345"/>
      <c r="C121" s="345"/>
      <c r="D121" s="399"/>
      <c r="E121" s="399"/>
      <c r="F121" s="399"/>
      <c r="G121" s="399"/>
      <c r="H121" s="399"/>
      <c r="I121" s="399"/>
      <c r="J121" s="74"/>
      <c r="K121" s="74"/>
    </row>
    <row r="122" spans="1:11">
      <c r="A122" s="74"/>
      <c r="B122" s="345"/>
      <c r="C122" s="345"/>
      <c r="D122" s="399"/>
      <c r="E122" s="399"/>
      <c r="F122" s="399"/>
      <c r="G122" s="399"/>
      <c r="H122" s="399"/>
      <c r="I122" s="399"/>
      <c r="J122" s="74"/>
      <c r="K122" s="74"/>
    </row>
    <row r="123" spans="1:11">
      <c r="A123" s="74"/>
      <c r="B123" s="345"/>
      <c r="C123" s="345"/>
      <c r="D123" s="399"/>
      <c r="E123" s="399"/>
      <c r="F123" s="399"/>
      <c r="G123" s="399"/>
      <c r="H123" s="399"/>
      <c r="I123" s="399"/>
      <c r="J123" s="74"/>
      <c r="K123" s="74"/>
    </row>
    <row r="124" spans="1:11">
      <c r="A124" s="74"/>
      <c r="B124" s="345"/>
      <c r="C124" s="345"/>
      <c r="D124" s="399"/>
      <c r="E124" s="399"/>
      <c r="F124" s="399"/>
      <c r="G124" s="399"/>
      <c r="H124" s="399"/>
      <c r="I124" s="399"/>
      <c r="J124" s="74"/>
      <c r="K124" s="74"/>
    </row>
    <row r="125" spans="1:11">
      <c r="A125" s="74"/>
      <c r="B125" s="345"/>
      <c r="C125" s="345"/>
      <c r="D125" s="399"/>
      <c r="E125" s="399"/>
      <c r="F125" s="399"/>
      <c r="G125" s="399"/>
      <c r="H125" s="399"/>
      <c r="I125" s="399"/>
      <c r="J125" s="74"/>
      <c r="K125" s="74"/>
    </row>
    <row r="126" spans="1:11">
      <c r="A126" s="74"/>
      <c r="B126" s="345"/>
      <c r="C126" s="345"/>
      <c r="D126" s="399"/>
      <c r="E126" s="399"/>
      <c r="F126" s="399"/>
      <c r="G126" s="399"/>
      <c r="H126" s="399"/>
      <c r="I126" s="399"/>
      <c r="J126" s="74"/>
      <c r="K126" s="74"/>
    </row>
    <row r="127" spans="1:11">
      <c r="A127" s="74"/>
      <c r="B127" s="345"/>
      <c r="C127" s="345"/>
      <c r="D127" s="399"/>
      <c r="E127" s="399"/>
      <c r="F127" s="399"/>
      <c r="G127" s="399"/>
      <c r="H127" s="399"/>
      <c r="I127" s="399"/>
      <c r="J127" s="74"/>
      <c r="K127" s="74"/>
    </row>
    <row r="128" spans="1:11">
      <c r="A128" s="74"/>
      <c r="B128" s="345"/>
      <c r="C128" s="345"/>
      <c r="D128" s="399"/>
      <c r="E128" s="399"/>
      <c r="F128" s="399"/>
      <c r="G128" s="399"/>
      <c r="H128" s="399"/>
      <c r="I128" s="399"/>
      <c r="J128" s="74"/>
      <c r="K128" s="74"/>
    </row>
    <row r="129" spans="1:11">
      <c r="A129" s="74"/>
      <c r="B129" s="345"/>
      <c r="C129" s="345"/>
      <c r="D129" s="399"/>
      <c r="E129" s="399"/>
      <c r="F129" s="399"/>
      <c r="G129" s="399"/>
      <c r="H129" s="399"/>
      <c r="I129" s="399"/>
      <c r="J129" s="74"/>
      <c r="K129" s="74"/>
    </row>
    <row r="130" spans="1:11">
      <c r="A130" s="74"/>
      <c r="B130" s="345"/>
      <c r="C130" s="345"/>
      <c r="D130" s="399"/>
      <c r="E130" s="399"/>
      <c r="F130" s="399"/>
      <c r="G130" s="399"/>
      <c r="H130" s="399"/>
      <c r="I130" s="399"/>
      <c r="J130" s="74"/>
      <c r="K130" s="74"/>
    </row>
    <row r="131" spans="1:11">
      <c r="A131" s="74"/>
      <c r="B131" s="345"/>
      <c r="C131" s="345"/>
      <c r="D131" s="399"/>
      <c r="E131" s="399"/>
      <c r="F131" s="399"/>
      <c r="G131" s="399"/>
      <c r="H131" s="399"/>
      <c r="I131" s="399"/>
      <c r="J131" s="74"/>
      <c r="K131" s="74"/>
    </row>
    <row r="132" spans="1:11">
      <c r="A132" s="74"/>
      <c r="B132" s="345"/>
      <c r="C132" s="345"/>
      <c r="D132" s="399"/>
      <c r="E132" s="399"/>
      <c r="F132" s="399"/>
      <c r="G132" s="399"/>
      <c r="H132" s="399"/>
      <c r="I132" s="399"/>
      <c r="J132" s="74"/>
      <c r="K132" s="74"/>
    </row>
    <row r="133" spans="1:11">
      <c r="A133" s="74"/>
      <c r="B133" s="345"/>
      <c r="C133" s="345"/>
      <c r="D133" s="399"/>
      <c r="E133" s="399"/>
      <c r="F133" s="399"/>
      <c r="G133" s="399"/>
      <c r="H133" s="399"/>
      <c r="I133" s="399"/>
      <c r="J133" s="74"/>
      <c r="K133" s="74"/>
    </row>
    <row r="134" spans="1:11">
      <c r="A134" s="74"/>
      <c r="B134" s="345"/>
      <c r="C134" s="345"/>
      <c r="D134" s="399"/>
      <c r="E134" s="399"/>
      <c r="F134" s="399"/>
      <c r="G134" s="399"/>
      <c r="H134" s="399"/>
      <c r="I134" s="399"/>
      <c r="J134" s="74"/>
      <c r="K134" s="74"/>
    </row>
    <row r="135" spans="1:11">
      <c r="A135" s="74"/>
      <c r="B135" s="345"/>
      <c r="C135" s="345"/>
      <c r="D135" s="399"/>
      <c r="E135" s="399"/>
      <c r="F135" s="399"/>
      <c r="G135" s="399"/>
      <c r="H135" s="399"/>
      <c r="I135" s="399"/>
      <c r="J135" s="74"/>
      <c r="K135" s="74"/>
    </row>
    <row r="136" spans="1:11">
      <c r="A136" s="74"/>
      <c r="B136" s="345"/>
      <c r="C136" s="345"/>
      <c r="D136" s="399"/>
      <c r="E136" s="399"/>
      <c r="F136" s="399"/>
      <c r="G136" s="399"/>
      <c r="H136" s="399"/>
      <c r="I136" s="399"/>
      <c r="J136" s="74"/>
      <c r="K136" s="74"/>
    </row>
    <row r="137" spans="1:11">
      <c r="A137" s="74"/>
      <c r="B137" s="345"/>
      <c r="C137" s="345"/>
      <c r="D137" s="399"/>
      <c r="E137" s="399"/>
      <c r="F137" s="399"/>
      <c r="G137" s="399"/>
      <c r="H137" s="399"/>
      <c r="I137" s="399"/>
      <c r="J137" s="74"/>
      <c r="K137" s="74"/>
    </row>
    <row r="138" spans="1:11">
      <c r="A138" s="74"/>
      <c r="B138" s="345"/>
      <c r="C138" s="345"/>
      <c r="D138" s="399"/>
      <c r="E138" s="399"/>
      <c r="F138" s="399"/>
      <c r="G138" s="399"/>
      <c r="H138" s="399"/>
      <c r="I138" s="399"/>
      <c r="J138" s="74"/>
      <c r="K138" s="74"/>
    </row>
    <row r="139" spans="1:11">
      <c r="A139" s="74"/>
      <c r="B139" s="345"/>
      <c r="C139" s="345"/>
      <c r="D139" s="399"/>
      <c r="E139" s="399"/>
      <c r="F139" s="399"/>
      <c r="G139" s="399"/>
      <c r="H139" s="399"/>
      <c r="I139" s="399"/>
      <c r="J139" s="74"/>
      <c r="K139" s="74"/>
    </row>
    <row r="140" spans="1:11">
      <c r="A140" s="74"/>
      <c r="B140" s="345"/>
      <c r="C140" s="345"/>
      <c r="D140" s="399"/>
      <c r="E140" s="399"/>
      <c r="F140" s="399"/>
      <c r="G140" s="399"/>
      <c r="H140" s="399"/>
      <c r="I140" s="399"/>
      <c r="J140" s="74"/>
      <c r="K140" s="74"/>
    </row>
    <row r="141" spans="1:11">
      <c r="A141" s="74"/>
      <c r="B141" s="345"/>
      <c r="C141" s="345"/>
      <c r="D141" s="399"/>
      <c r="E141" s="399"/>
      <c r="F141" s="399"/>
      <c r="G141" s="399"/>
      <c r="H141" s="399"/>
      <c r="I141" s="399"/>
      <c r="J141" s="74"/>
      <c r="K141" s="74"/>
    </row>
    <row r="142" spans="1:11">
      <c r="A142" s="74"/>
      <c r="B142" s="345"/>
      <c r="C142" s="345"/>
      <c r="D142" s="399"/>
      <c r="E142" s="399"/>
      <c r="F142" s="399"/>
      <c r="G142" s="399"/>
      <c r="H142" s="399"/>
      <c r="I142" s="399"/>
      <c r="J142" s="74"/>
      <c r="K142" s="74"/>
    </row>
    <row r="143" spans="1:11">
      <c r="A143" s="74"/>
      <c r="B143" s="345"/>
      <c r="C143" s="345"/>
      <c r="D143" s="399"/>
      <c r="E143" s="399"/>
      <c r="F143" s="399"/>
      <c r="G143" s="399"/>
      <c r="H143" s="399"/>
      <c r="I143" s="399"/>
      <c r="J143" s="74"/>
      <c r="K143" s="74"/>
    </row>
    <row r="144" spans="1:11">
      <c r="A144" s="74"/>
      <c r="B144" s="345"/>
      <c r="C144" s="345"/>
      <c r="D144" s="399"/>
      <c r="E144" s="399"/>
      <c r="F144" s="399"/>
      <c r="G144" s="399"/>
      <c r="H144" s="399"/>
      <c r="I144" s="399"/>
      <c r="J144" s="74"/>
      <c r="K144" s="74"/>
    </row>
    <row r="145" spans="1:11">
      <c r="A145" s="74"/>
      <c r="B145" s="345"/>
      <c r="C145" s="345"/>
      <c r="D145" s="399"/>
      <c r="E145" s="399"/>
      <c r="F145" s="399"/>
      <c r="G145" s="399"/>
      <c r="H145" s="399"/>
      <c r="I145" s="399"/>
      <c r="J145" s="74"/>
      <c r="K145" s="74"/>
    </row>
    <row r="146" spans="1:11">
      <c r="A146" s="74"/>
      <c r="B146" s="345"/>
      <c r="C146" s="345"/>
      <c r="D146" s="399"/>
      <c r="E146" s="399"/>
      <c r="F146" s="399"/>
      <c r="G146" s="399"/>
      <c r="H146" s="399"/>
      <c r="I146" s="399"/>
      <c r="J146" s="74"/>
      <c r="K146" s="74"/>
    </row>
    <row r="147" spans="1:11">
      <c r="A147" s="74"/>
      <c r="B147" s="345"/>
      <c r="C147" s="345"/>
      <c r="D147" s="399"/>
      <c r="E147" s="399"/>
      <c r="F147" s="399"/>
      <c r="G147" s="399"/>
      <c r="H147" s="399"/>
      <c r="I147" s="399"/>
      <c r="J147" s="74"/>
      <c r="K147" s="74"/>
    </row>
    <row r="148" spans="1:11">
      <c r="A148" s="74"/>
      <c r="B148" s="345"/>
      <c r="C148" s="345"/>
      <c r="D148" s="399"/>
      <c r="E148" s="399"/>
      <c r="F148" s="399"/>
      <c r="G148" s="399"/>
      <c r="H148" s="399"/>
      <c r="I148" s="399"/>
      <c r="J148" s="74"/>
      <c r="K148" s="74"/>
    </row>
    <row r="149" spans="1:11">
      <c r="A149" s="74"/>
      <c r="B149" s="345"/>
      <c r="C149" s="345"/>
      <c r="D149" s="399"/>
      <c r="E149" s="399"/>
      <c r="F149" s="399"/>
      <c r="G149" s="399"/>
      <c r="H149" s="399"/>
      <c r="I149" s="399"/>
      <c r="J149" s="74"/>
      <c r="K149" s="74"/>
    </row>
    <row r="150" spans="1:11">
      <c r="A150" s="74"/>
      <c r="B150" s="345"/>
      <c r="C150" s="345"/>
      <c r="D150" s="399"/>
      <c r="E150" s="399"/>
      <c r="F150" s="399"/>
      <c r="G150" s="399"/>
      <c r="H150" s="399"/>
      <c r="I150" s="399"/>
      <c r="J150" s="74"/>
      <c r="K150" s="74"/>
    </row>
    <row r="151" spans="1:11">
      <c r="A151" s="74"/>
      <c r="B151" s="345"/>
      <c r="C151" s="345"/>
      <c r="D151" s="399"/>
      <c r="E151" s="399"/>
      <c r="F151" s="399"/>
      <c r="G151" s="399"/>
      <c r="H151" s="399"/>
      <c r="I151" s="399"/>
      <c r="J151" s="74"/>
      <c r="K151" s="74"/>
    </row>
    <row r="152" spans="1:11">
      <c r="A152" s="74"/>
      <c r="B152" s="345"/>
      <c r="C152" s="345"/>
      <c r="D152" s="399"/>
      <c r="E152" s="399"/>
      <c r="F152" s="399"/>
      <c r="G152" s="399"/>
      <c r="H152" s="399"/>
      <c r="I152" s="399"/>
      <c r="J152" s="74"/>
      <c r="K152" s="74"/>
    </row>
    <row r="153" spans="1:11">
      <c r="A153" s="74"/>
      <c r="B153" s="345"/>
      <c r="C153" s="345"/>
      <c r="D153" s="399"/>
      <c r="E153" s="399"/>
      <c r="F153" s="399"/>
      <c r="G153" s="399"/>
      <c r="H153" s="399"/>
      <c r="I153" s="399"/>
      <c r="J153" s="74"/>
      <c r="K153" s="74"/>
    </row>
  </sheetData>
  <sheetProtection algorithmName="SHA-512" hashValue="srhAkm+Afp7IxOwC3TdaaL2273T+w85AffnM/5WT/2jG3rhReUwKBIoniYfZo1gJD55cchBRBCDfDzN+lw1yGQ==" saltValue="R8Iu9gfsAmFWBSjHbmFc+w==" spinCount="100000" sheet="1" objects="1" scenarios="1" selectLockedCells="1" selectUnlockedCells="1"/>
  <mergeCells count="1">
    <mergeCell ref="L18:L20"/>
  </mergeCells>
  <phoneticPr fontId="2" type="noConversion"/>
  <conditionalFormatting sqref="K2:K22">
    <cfRule type="colorScale" priority="1">
      <colorScale>
        <cfvo type="min"/>
        <cfvo type="num" val="0"/>
        <cfvo type="max"/>
        <color rgb="FFFCFCFF"/>
        <color theme="0"/>
        <color theme="5"/>
      </colorScale>
    </cfRule>
  </conditionalFormatting>
  <pageMargins left="0.7" right="0.7" top="0.75" bottom="0.75" header="0.3" footer="0.3"/>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C3144-DB88-3348-858E-BBB947B178F8}">
  <sheetPr>
    <tabColor rgb="FFABA3C8"/>
  </sheetPr>
  <dimension ref="A1:Q101"/>
  <sheetViews>
    <sheetView zoomScale="57" zoomScaleNormal="57" workbookViewId="0">
      <selection activeCell="W53" sqref="W53"/>
    </sheetView>
  </sheetViews>
  <sheetFormatPr baseColWidth="10" defaultColWidth="11" defaultRowHeight="16"/>
  <cols>
    <col min="1" max="1" width="15.5" style="8" customWidth="1"/>
    <col min="2" max="2" width="16" style="8" customWidth="1"/>
    <col min="3" max="3" width="19.5" style="8" customWidth="1"/>
    <col min="4" max="9" width="14.1640625" style="8" customWidth="1"/>
    <col min="10" max="11" width="14.33203125" style="8" customWidth="1"/>
    <col min="12" max="12" width="23.6640625" style="8" customWidth="1"/>
    <col min="13" max="13" width="12.83203125" style="8" customWidth="1"/>
    <col min="14" max="14" width="16.5" style="3" bestFit="1" customWidth="1"/>
    <col min="15" max="15" width="14.83203125" style="3" customWidth="1"/>
    <col min="16" max="17" width="15.5" style="4" customWidth="1"/>
    <col min="18" max="16384" width="11" style="8"/>
  </cols>
  <sheetData>
    <row r="1" spans="1:17" ht="43" customHeight="1">
      <c r="A1" s="435" t="s">
        <v>36</v>
      </c>
      <c r="B1" s="436" t="s">
        <v>433</v>
      </c>
      <c r="C1" s="435" t="s">
        <v>434</v>
      </c>
      <c r="D1" s="436" t="s">
        <v>435</v>
      </c>
      <c r="E1" s="436" t="s">
        <v>436</v>
      </c>
      <c r="F1" s="436" t="s">
        <v>437</v>
      </c>
      <c r="G1" s="436" t="s">
        <v>438</v>
      </c>
      <c r="H1" s="436" t="s">
        <v>439</v>
      </c>
      <c r="I1" s="436" t="s">
        <v>440</v>
      </c>
      <c r="J1" s="437" t="s">
        <v>441</v>
      </c>
      <c r="K1" s="438" t="s">
        <v>325</v>
      </c>
      <c r="L1" s="435" t="s">
        <v>442</v>
      </c>
      <c r="M1" s="341"/>
    </row>
    <row r="2" spans="1:17" ht="17">
      <c r="A2" s="404" t="s">
        <v>61</v>
      </c>
      <c r="B2" s="404" t="s">
        <v>107</v>
      </c>
      <c r="C2" s="379" t="s">
        <v>287</v>
      </c>
      <c r="D2" s="382">
        <v>1</v>
      </c>
      <c r="E2" s="381" t="s">
        <v>443</v>
      </c>
      <c r="F2" s="381" t="s">
        <v>444</v>
      </c>
      <c r="G2" s="406" t="s">
        <v>290</v>
      </c>
      <c r="H2" s="402">
        <v>1</v>
      </c>
      <c r="I2" s="456">
        <v>1630855</v>
      </c>
      <c r="J2" s="403">
        <v>1630855</v>
      </c>
      <c r="K2" s="126">
        <v>0.86278723289147108</v>
      </c>
      <c r="L2" s="380" t="s">
        <v>100</v>
      </c>
      <c r="M2" s="378"/>
      <c r="N2" s="4"/>
      <c r="O2" s="33"/>
      <c r="P2" s="8"/>
      <c r="Q2" s="33"/>
    </row>
    <row r="3" spans="1:17" ht="17">
      <c r="A3" s="404" t="s">
        <v>64</v>
      </c>
      <c r="B3" s="404" t="s">
        <v>64</v>
      </c>
      <c r="C3" s="379" t="s">
        <v>134</v>
      </c>
      <c r="D3" s="382">
        <v>1</v>
      </c>
      <c r="E3" s="381" t="s">
        <v>443</v>
      </c>
      <c r="F3" s="381">
        <v>2023</v>
      </c>
      <c r="G3" s="406" t="s">
        <v>445</v>
      </c>
      <c r="H3" s="402">
        <v>0.7592955469553716</v>
      </c>
      <c r="I3" s="456">
        <v>2511005</v>
      </c>
      <c r="J3" s="403">
        <v>2511005</v>
      </c>
      <c r="K3" s="126">
        <v>0.86278723289147097</v>
      </c>
      <c r="L3" s="419" t="s">
        <v>446</v>
      </c>
      <c r="M3" s="378"/>
      <c r="N3" s="4"/>
      <c r="O3" s="33"/>
      <c r="P3" s="8"/>
      <c r="Q3" s="33"/>
    </row>
    <row r="4" spans="1:17" ht="17">
      <c r="A4" s="541" t="s">
        <v>74</v>
      </c>
      <c r="B4" s="535" t="s">
        <v>75</v>
      </c>
      <c r="C4" s="379" t="s">
        <v>135</v>
      </c>
      <c r="D4" s="382">
        <v>1</v>
      </c>
      <c r="E4" s="381" t="s">
        <v>447</v>
      </c>
      <c r="F4" s="381">
        <v>2030</v>
      </c>
      <c r="G4" s="406" t="s">
        <v>290</v>
      </c>
      <c r="H4" s="402">
        <v>1</v>
      </c>
      <c r="I4" s="456">
        <v>2127762</v>
      </c>
      <c r="J4" s="531">
        <v>4357902</v>
      </c>
      <c r="K4" s="529">
        <v>0.86278723289147108</v>
      </c>
      <c r="L4" s="420" t="s">
        <v>448</v>
      </c>
      <c r="M4" s="378"/>
      <c r="N4" s="4"/>
      <c r="O4" s="33"/>
      <c r="P4" s="8"/>
      <c r="Q4" s="33"/>
    </row>
    <row r="5" spans="1:17" ht="17">
      <c r="A5" s="541"/>
      <c r="B5" s="536"/>
      <c r="C5" s="262" t="s">
        <v>136</v>
      </c>
      <c r="D5" s="382">
        <v>0.5</v>
      </c>
      <c r="E5" s="381" t="s">
        <v>443</v>
      </c>
      <c r="F5" s="381">
        <v>2030</v>
      </c>
      <c r="G5" s="406" t="s">
        <v>290</v>
      </c>
      <c r="H5" s="402">
        <v>1</v>
      </c>
      <c r="I5" s="456">
        <v>1534787</v>
      </c>
      <c r="J5" s="533"/>
      <c r="K5" s="530"/>
      <c r="L5" s="380"/>
      <c r="M5" s="378"/>
      <c r="N5" s="4"/>
      <c r="O5" s="33"/>
      <c r="P5" s="8"/>
      <c r="Q5" s="33"/>
    </row>
    <row r="6" spans="1:17">
      <c r="A6" s="535" t="s">
        <v>71</v>
      </c>
      <c r="B6" s="404" t="s">
        <v>71</v>
      </c>
      <c r="C6" s="379" t="s">
        <v>449</v>
      </c>
      <c r="D6" s="407">
        <v>0.5</v>
      </c>
      <c r="E6" s="381" t="s">
        <v>443</v>
      </c>
      <c r="F6" s="125">
        <v>2030</v>
      </c>
      <c r="G6" s="125" t="s">
        <v>450</v>
      </c>
      <c r="H6" s="402">
        <v>0.78831442322606116</v>
      </c>
      <c r="I6" s="456">
        <v>2216133</v>
      </c>
      <c r="J6" s="531">
        <v>2216133</v>
      </c>
      <c r="K6" s="529">
        <v>0.77874468738262292</v>
      </c>
      <c r="L6" s="380" t="s">
        <v>451</v>
      </c>
      <c r="M6" s="378"/>
      <c r="N6" s="4"/>
      <c r="O6" s="33"/>
      <c r="P6" s="8"/>
      <c r="Q6" s="33"/>
    </row>
    <row r="7" spans="1:17" ht="17">
      <c r="A7" s="536"/>
      <c r="B7" s="404" t="s">
        <v>71</v>
      </c>
      <c r="C7" s="379" t="s">
        <v>449</v>
      </c>
      <c r="D7" s="382">
        <v>1</v>
      </c>
      <c r="E7" s="381" t="s">
        <v>443</v>
      </c>
      <c r="F7" s="381">
        <v>2035</v>
      </c>
      <c r="G7" s="406" t="s">
        <v>290</v>
      </c>
      <c r="H7" s="402">
        <v>1</v>
      </c>
      <c r="I7" s="456">
        <v>2216133</v>
      </c>
      <c r="J7" s="533"/>
      <c r="K7" s="530"/>
      <c r="L7" s="12"/>
      <c r="M7" s="378"/>
      <c r="N7" s="4"/>
      <c r="O7" s="33"/>
      <c r="P7" s="8"/>
      <c r="Q7" s="33"/>
    </row>
    <row r="8" spans="1:17" ht="17" customHeight="1">
      <c r="A8" s="404" t="s">
        <v>86</v>
      </c>
      <c r="B8" s="404" t="s">
        <v>86</v>
      </c>
      <c r="C8" s="379" t="s">
        <v>287</v>
      </c>
      <c r="D8" s="382">
        <v>0.8</v>
      </c>
      <c r="E8" s="381" t="s">
        <v>443</v>
      </c>
      <c r="F8" s="381">
        <v>2025</v>
      </c>
      <c r="G8" s="406" t="s">
        <v>445</v>
      </c>
      <c r="H8" s="402">
        <v>0.73713103142557035</v>
      </c>
      <c r="I8" s="456">
        <v>901863</v>
      </c>
      <c r="J8" s="403">
        <v>901863</v>
      </c>
      <c r="K8" s="126">
        <v>0.76585042226033295</v>
      </c>
      <c r="L8" s="420" t="s">
        <v>452</v>
      </c>
      <c r="M8" s="378"/>
      <c r="N8" s="4"/>
      <c r="O8" s="33"/>
      <c r="P8" s="8"/>
      <c r="Q8" s="33"/>
    </row>
    <row r="9" spans="1:17" ht="17" customHeight="1">
      <c r="A9" s="535" t="s">
        <v>166</v>
      </c>
      <c r="B9" s="404" t="s">
        <v>453</v>
      </c>
      <c r="C9" s="379" t="s">
        <v>287</v>
      </c>
      <c r="D9" s="382">
        <v>1</v>
      </c>
      <c r="E9" s="381" t="s">
        <v>443</v>
      </c>
      <c r="F9" s="381">
        <v>2030</v>
      </c>
      <c r="G9" s="406" t="s">
        <v>290</v>
      </c>
      <c r="H9" s="402">
        <v>1</v>
      </c>
      <c r="I9" s="456">
        <v>615266</v>
      </c>
      <c r="J9" s="531">
        <v>2115472</v>
      </c>
      <c r="K9" s="529">
        <v>0.74783642117696203</v>
      </c>
      <c r="L9" s="380" t="s">
        <v>454</v>
      </c>
      <c r="M9" s="378"/>
      <c r="N9" s="4"/>
      <c r="O9" s="33"/>
      <c r="P9" s="8"/>
      <c r="Q9" s="33"/>
    </row>
    <row r="10" spans="1:17" ht="17">
      <c r="A10" s="536"/>
      <c r="B10" s="404" t="s">
        <v>166</v>
      </c>
      <c r="C10" s="379" t="s">
        <v>287</v>
      </c>
      <c r="D10" s="382">
        <v>0.5</v>
      </c>
      <c r="E10" s="381" t="s">
        <v>443</v>
      </c>
      <c r="F10" s="381">
        <v>2025</v>
      </c>
      <c r="G10" s="406" t="s">
        <v>445</v>
      </c>
      <c r="H10" s="402">
        <v>0.80374934825837807</v>
      </c>
      <c r="I10" s="456">
        <v>1500206</v>
      </c>
      <c r="J10" s="533"/>
      <c r="K10" s="530"/>
      <c r="L10" s="380" t="s">
        <v>455</v>
      </c>
      <c r="M10" s="378"/>
      <c r="N10" s="4"/>
      <c r="O10" s="33"/>
      <c r="P10" s="8"/>
      <c r="Q10" s="33"/>
    </row>
    <row r="11" spans="1:17">
      <c r="A11" s="535" t="s">
        <v>70</v>
      </c>
      <c r="B11" s="535" t="s">
        <v>70</v>
      </c>
      <c r="C11" s="262" t="s">
        <v>136</v>
      </c>
      <c r="D11" s="407">
        <v>0.5</v>
      </c>
      <c r="E11" s="381" t="s">
        <v>443</v>
      </c>
      <c r="F11" s="125">
        <v>2030</v>
      </c>
      <c r="G11" s="125" t="s">
        <v>456</v>
      </c>
      <c r="H11" s="402">
        <v>1</v>
      </c>
      <c r="I11" s="456">
        <v>2577662</v>
      </c>
      <c r="J11" s="531">
        <v>3493344</v>
      </c>
      <c r="K11" s="529">
        <v>0.74694051506335069</v>
      </c>
      <c r="L11" s="380" t="s">
        <v>457</v>
      </c>
      <c r="M11" s="378"/>
      <c r="N11" s="4"/>
      <c r="O11" s="33"/>
      <c r="P11" s="8"/>
      <c r="Q11" s="33"/>
    </row>
    <row r="12" spans="1:17" ht="17" customHeight="1">
      <c r="A12" s="536"/>
      <c r="B12" s="536"/>
      <c r="C12" s="379" t="s">
        <v>449</v>
      </c>
      <c r="D12" s="382">
        <v>1</v>
      </c>
      <c r="E12" s="381" t="s">
        <v>443</v>
      </c>
      <c r="F12" s="381">
        <v>2035</v>
      </c>
      <c r="G12" s="406" t="s">
        <v>290</v>
      </c>
      <c r="H12" s="402">
        <v>1</v>
      </c>
      <c r="I12" s="456">
        <v>3493344</v>
      </c>
      <c r="J12" s="533"/>
      <c r="K12" s="530"/>
      <c r="L12" s="380"/>
      <c r="M12" s="378"/>
      <c r="N12" s="4"/>
      <c r="O12" s="33"/>
      <c r="P12" s="8"/>
      <c r="Q12" s="33"/>
    </row>
    <row r="13" spans="1:17" ht="16" customHeight="1">
      <c r="A13" s="535" t="s">
        <v>82</v>
      </c>
      <c r="B13" s="404" t="s">
        <v>82</v>
      </c>
      <c r="C13" s="379" t="s">
        <v>135</v>
      </c>
      <c r="D13" s="382">
        <v>1</v>
      </c>
      <c r="E13" s="381" t="s">
        <v>447</v>
      </c>
      <c r="F13" s="381">
        <v>2030</v>
      </c>
      <c r="G13" s="406" t="s">
        <v>290</v>
      </c>
      <c r="H13" s="402">
        <v>1</v>
      </c>
      <c r="I13" s="456">
        <v>681681</v>
      </c>
      <c r="J13" s="531">
        <v>1615003</v>
      </c>
      <c r="K13" s="529">
        <v>0.7269070972977405</v>
      </c>
      <c r="L13" s="383" t="s">
        <v>458</v>
      </c>
      <c r="M13" s="378"/>
      <c r="N13" s="4"/>
      <c r="O13" s="33"/>
      <c r="P13" s="8"/>
      <c r="Q13" s="33"/>
    </row>
    <row r="14" spans="1:17" ht="17">
      <c r="A14" s="540"/>
      <c r="B14" s="404" t="s">
        <v>239</v>
      </c>
      <c r="C14" s="379" t="s">
        <v>135</v>
      </c>
      <c r="D14" s="382">
        <v>1</v>
      </c>
      <c r="E14" s="381" t="s">
        <v>443</v>
      </c>
      <c r="F14" s="381">
        <v>2035</v>
      </c>
      <c r="G14" s="406" t="s">
        <v>290</v>
      </c>
      <c r="H14" s="402">
        <v>1</v>
      </c>
      <c r="I14" s="456">
        <v>561986</v>
      </c>
      <c r="J14" s="532"/>
      <c r="K14" s="534"/>
      <c r="L14" s="380"/>
      <c r="M14" s="378"/>
      <c r="O14" s="33"/>
      <c r="P14" s="8"/>
      <c r="Q14" s="33"/>
    </row>
    <row r="15" spans="1:17" ht="17">
      <c r="A15" s="536"/>
      <c r="B15" s="404" t="s">
        <v>459</v>
      </c>
      <c r="C15" s="379" t="s">
        <v>460</v>
      </c>
      <c r="D15" s="381" t="s">
        <v>460</v>
      </c>
      <c r="E15" s="381" t="s">
        <v>460</v>
      </c>
      <c r="F15" s="381" t="s">
        <v>460</v>
      </c>
      <c r="G15" s="406" t="s">
        <v>460</v>
      </c>
      <c r="H15" s="402" t="s">
        <v>444</v>
      </c>
      <c r="I15" s="456" t="s">
        <v>444</v>
      </c>
      <c r="J15" s="533"/>
      <c r="K15" s="530"/>
      <c r="L15" s="380"/>
      <c r="M15" s="378"/>
      <c r="O15" s="33"/>
      <c r="P15" s="8"/>
      <c r="Q15" s="33"/>
    </row>
    <row r="16" spans="1:17" ht="18" customHeight="1">
      <c r="A16" s="535" t="s">
        <v>65</v>
      </c>
      <c r="B16" s="404" t="s">
        <v>65</v>
      </c>
      <c r="C16" s="379" t="s">
        <v>287</v>
      </c>
      <c r="D16" s="382">
        <v>0.5</v>
      </c>
      <c r="E16" s="381" t="s">
        <v>443</v>
      </c>
      <c r="F16" s="381">
        <v>2030</v>
      </c>
      <c r="G16" s="406" t="s">
        <v>290</v>
      </c>
      <c r="H16" s="402">
        <v>1</v>
      </c>
      <c r="I16" s="456">
        <v>2025454</v>
      </c>
      <c r="J16" s="531">
        <v>2294730</v>
      </c>
      <c r="K16" s="529">
        <v>0.72554895828222088</v>
      </c>
      <c r="L16" s="380" t="s">
        <v>461</v>
      </c>
      <c r="M16" s="378"/>
      <c r="O16" s="33"/>
      <c r="P16" s="8"/>
      <c r="Q16" s="33"/>
    </row>
    <row r="17" spans="1:17" ht="17">
      <c r="A17" s="540"/>
      <c r="B17" s="404" t="s">
        <v>219</v>
      </c>
      <c r="C17" s="379" t="s">
        <v>287</v>
      </c>
      <c r="D17" s="382">
        <v>1</v>
      </c>
      <c r="E17" s="381" t="s">
        <v>443</v>
      </c>
      <c r="F17" s="381">
        <v>2031</v>
      </c>
      <c r="G17" s="406" t="s">
        <v>290</v>
      </c>
      <c r="H17" s="402">
        <v>1</v>
      </c>
      <c r="I17" s="456">
        <v>265826</v>
      </c>
      <c r="J17" s="532"/>
      <c r="K17" s="534"/>
      <c r="L17" s="380"/>
      <c r="M17" s="378"/>
      <c r="O17" s="33"/>
      <c r="P17" s="8"/>
      <c r="Q17" s="33"/>
    </row>
    <row r="18" spans="1:17" ht="17">
      <c r="A18" s="536"/>
      <c r="B18" s="404" t="s">
        <v>462</v>
      </c>
      <c r="C18" s="379" t="s">
        <v>287</v>
      </c>
      <c r="D18" s="382">
        <v>1</v>
      </c>
      <c r="E18" s="381" t="s">
        <v>443</v>
      </c>
      <c r="F18" s="381">
        <v>2030</v>
      </c>
      <c r="G18" s="406" t="s">
        <v>290</v>
      </c>
      <c r="H18" s="402">
        <v>1</v>
      </c>
      <c r="I18" s="456">
        <v>3450</v>
      </c>
      <c r="J18" s="533"/>
      <c r="K18" s="530"/>
      <c r="L18" s="380"/>
      <c r="M18" s="378"/>
      <c r="O18" s="33"/>
      <c r="P18" s="8"/>
      <c r="Q18" s="33"/>
    </row>
    <row r="19" spans="1:17" ht="15" customHeight="1">
      <c r="A19" s="535" t="s">
        <v>69</v>
      </c>
      <c r="B19" s="404" t="s">
        <v>463</v>
      </c>
      <c r="C19" s="379" t="s">
        <v>135</v>
      </c>
      <c r="D19" s="382">
        <v>0.8</v>
      </c>
      <c r="E19" s="381" t="s">
        <v>447</v>
      </c>
      <c r="F19" s="381">
        <v>2030</v>
      </c>
      <c r="G19" s="406" t="s">
        <v>290</v>
      </c>
      <c r="H19" s="402">
        <v>1</v>
      </c>
      <c r="I19" s="456">
        <v>1351382</v>
      </c>
      <c r="J19" s="531">
        <v>7529993</v>
      </c>
      <c r="K19" s="529">
        <v>0.68550819886100012</v>
      </c>
      <c r="L19" s="380" t="s">
        <v>464</v>
      </c>
      <c r="M19" s="378"/>
      <c r="O19" s="33"/>
      <c r="P19" s="8"/>
      <c r="Q19" s="33"/>
    </row>
    <row r="20" spans="1:17" ht="17">
      <c r="A20" s="540"/>
      <c r="B20" s="404" t="s">
        <v>463</v>
      </c>
      <c r="C20" s="262" t="s">
        <v>465</v>
      </c>
      <c r="D20" s="382">
        <v>0.55000000000000004</v>
      </c>
      <c r="E20" s="381" t="s">
        <v>443</v>
      </c>
      <c r="F20" s="381">
        <v>2030</v>
      </c>
      <c r="G20" s="406" t="s">
        <v>290</v>
      </c>
      <c r="H20" s="402">
        <v>1</v>
      </c>
      <c r="I20" s="456">
        <v>329029</v>
      </c>
      <c r="J20" s="532"/>
      <c r="K20" s="534"/>
      <c r="L20" s="380" t="s">
        <v>464</v>
      </c>
      <c r="M20" s="378"/>
      <c r="O20" s="33"/>
      <c r="P20" s="8"/>
      <c r="Q20" s="33"/>
    </row>
    <row r="21" spans="1:17" ht="17">
      <c r="A21" s="540"/>
      <c r="B21" s="404" t="s">
        <v>463</v>
      </c>
      <c r="C21" s="379" t="s">
        <v>134</v>
      </c>
      <c r="D21" s="382">
        <v>0.5</v>
      </c>
      <c r="E21" s="381" t="s">
        <v>443</v>
      </c>
      <c r="F21" s="381">
        <v>2030</v>
      </c>
      <c r="G21" s="406" t="s">
        <v>290</v>
      </c>
      <c r="H21" s="402">
        <v>1</v>
      </c>
      <c r="I21" s="456">
        <v>2195526</v>
      </c>
      <c r="J21" s="532"/>
      <c r="K21" s="534"/>
      <c r="L21" s="380" t="s">
        <v>464</v>
      </c>
      <c r="M21" s="378"/>
      <c r="N21" s="73"/>
      <c r="O21" s="33"/>
      <c r="P21" s="8"/>
      <c r="Q21" s="33"/>
    </row>
    <row r="22" spans="1:17" ht="17">
      <c r="A22" s="540"/>
      <c r="B22" s="404" t="s">
        <v>173</v>
      </c>
      <c r="C22" s="379" t="s">
        <v>466</v>
      </c>
      <c r="D22" s="382">
        <v>1</v>
      </c>
      <c r="E22" s="381" t="s">
        <v>443</v>
      </c>
      <c r="F22" s="381">
        <v>2033</v>
      </c>
      <c r="G22" s="406" t="s">
        <v>290</v>
      </c>
      <c r="H22" s="402">
        <v>1</v>
      </c>
      <c r="I22" s="456">
        <v>1012860</v>
      </c>
      <c r="J22" s="532"/>
      <c r="K22" s="534"/>
      <c r="L22" s="383" t="s">
        <v>467</v>
      </c>
      <c r="M22" s="378"/>
      <c r="N22" s="73"/>
      <c r="O22" s="33"/>
      <c r="P22" s="8"/>
      <c r="Q22" s="33"/>
    </row>
    <row r="23" spans="1:17" ht="17">
      <c r="A23" s="540"/>
      <c r="B23" s="404" t="s">
        <v>182</v>
      </c>
      <c r="C23" s="379" t="s">
        <v>135</v>
      </c>
      <c r="D23" s="382">
        <v>0.7</v>
      </c>
      <c r="E23" s="381" t="s">
        <v>443</v>
      </c>
      <c r="F23" s="381">
        <v>2030</v>
      </c>
      <c r="G23" s="406" t="s">
        <v>290</v>
      </c>
      <c r="H23" s="402">
        <v>1</v>
      </c>
      <c r="I23" s="456">
        <v>683272</v>
      </c>
      <c r="J23" s="532"/>
      <c r="K23" s="534"/>
      <c r="L23" s="421" t="s">
        <v>468</v>
      </c>
      <c r="N23" s="73"/>
      <c r="O23" s="33"/>
      <c r="P23" s="8"/>
      <c r="Q23" s="33"/>
    </row>
    <row r="24" spans="1:17" ht="17">
      <c r="A24" s="540"/>
      <c r="B24" s="404" t="s">
        <v>174</v>
      </c>
      <c r="C24" s="379" t="s">
        <v>287</v>
      </c>
      <c r="D24" s="382">
        <v>1</v>
      </c>
      <c r="E24" s="381" t="s">
        <v>443</v>
      </c>
      <c r="F24" s="381">
        <v>2030</v>
      </c>
      <c r="G24" s="406" t="s">
        <v>290</v>
      </c>
      <c r="H24" s="402">
        <v>1</v>
      </c>
      <c r="I24" s="456">
        <v>8996</v>
      </c>
      <c r="J24" s="532"/>
      <c r="K24" s="534"/>
      <c r="L24" s="78" t="s">
        <v>469</v>
      </c>
      <c r="N24" s="73"/>
      <c r="O24" s="33"/>
      <c r="P24" s="8"/>
      <c r="Q24" s="33"/>
    </row>
    <row r="25" spans="1:17" ht="17">
      <c r="A25" s="540"/>
      <c r="B25" s="404" t="s">
        <v>180</v>
      </c>
      <c r="C25" s="379" t="s">
        <v>287</v>
      </c>
      <c r="D25" s="382">
        <v>0.8</v>
      </c>
      <c r="E25" s="381" t="s">
        <v>443</v>
      </c>
      <c r="F25" s="381">
        <v>2030</v>
      </c>
      <c r="G25" s="406" t="s">
        <v>290</v>
      </c>
      <c r="H25" s="402">
        <v>1</v>
      </c>
      <c r="I25" s="456">
        <v>275426</v>
      </c>
      <c r="J25" s="532"/>
      <c r="K25" s="534"/>
      <c r="L25" s="422" t="s">
        <v>470</v>
      </c>
      <c r="N25" s="73"/>
      <c r="O25" s="33"/>
      <c r="P25" s="8"/>
      <c r="Q25" s="33"/>
    </row>
    <row r="26" spans="1:17" ht="17">
      <c r="A26" s="536"/>
      <c r="B26" s="404" t="s">
        <v>459</v>
      </c>
      <c r="C26" s="379" t="s">
        <v>460</v>
      </c>
      <c r="D26" s="381" t="s">
        <v>460</v>
      </c>
      <c r="E26" s="381" t="s">
        <v>460</v>
      </c>
      <c r="F26" s="381" t="s">
        <v>460</v>
      </c>
      <c r="G26" s="406" t="s">
        <v>460</v>
      </c>
      <c r="H26" s="402" t="s">
        <v>444</v>
      </c>
      <c r="I26" s="456" t="s">
        <v>444</v>
      </c>
      <c r="J26" s="533"/>
      <c r="K26" s="530"/>
      <c r="L26" s="380" t="s">
        <v>444</v>
      </c>
      <c r="N26" s="73"/>
      <c r="O26" s="33"/>
      <c r="P26" s="8"/>
      <c r="Q26" s="33"/>
    </row>
    <row r="27" spans="1:17" ht="17">
      <c r="A27" s="535" t="s">
        <v>80</v>
      </c>
      <c r="B27" s="404" t="s">
        <v>80</v>
      </c>
      <c r="C27" s="262" t="s">
        <v>465</v>
      </c>
      <c r="D27" s="407">
        <v>0.4</v>
      </c>
      <c r="E27" s="381" t="s">
        <v>443</v>
      </c>
      <c r="F27" s="125">
        <v>2030</v>
      </c>
      <c r="G27" s="406" t="s">
        <v>290</v>
      </c>
      <c r="H27" s="402">
        <v>1</v>
      </c>
      <c r="I27" s="456">
        <v>1981332</v>
      </c>
      <c r="J27" s="531">
        <v>3105489</v>
      </c>
      <c r="K27" s="529">
        <v>0.68118071391812507</v>
      </c>
      <c r="L27" s="380" t="s">
        <v>471</v>
      </c>
      <c r="O27" s="33"/>
      <c r="P27" s="8"/>
      <c r="Q27" s="33"/>
    </row>
    <row r="28" spans="1:17" ht="17">
      <c r="A28" s="536"/>
      <c r="B28" s="404" t="s">
        <v>80</v>
      </c>
      <c r="C28" s="379" t="s">
        <v>449</v>
      </c>
      <c r="D28" s="382">
        <v>1</v>
      </c>
      <c r="E28" s="381" t="s">
        <v>443</v>
      </c>
      <c r="F28" s="381">
        <v>2035</v>
      </c>
      <c r="G28" s="406" t="s">
        <v>290</v>
      </c>
      <c r="H28" s="402">
        <v>1</v>
      </c>
      <c r="I28" s="456">
        <v>3105489</v>
      </c>
      <c r="J28" s="533"/>
      <c r="K28" s="530"/>
      <c r="L28" s="380"/>
      <c r="O28" s="33"/>
      <c r="P28" s="8"/>
      <c r="Q28" s="33"/>
    </row>
    <row r="29" spans="1:17" ht="17">
      <c r="A29" s="404" t="s">
        <v>83</v>
      </c>
      <c r="B29" s="404" t="s">
        <v>83</v>
      </c>
      <c r="C29" s="379" t="s">
        <v>287</v>
      </c>
      <c r="D29" s="382">
        <v>0.6</v>
      </c>
      <c r="E29" s="381" t="s">
        <v>443</v>
      </c>
      <c r="F29" s="381">
        <v>2030</v>
      </c>
      <c r="G29" s="406" t="s">
        <v>445</v>
      </c>
      <c r="H29" s="402">
        <v>0.80726838479798446</v>
      </c>
      <c r="I29" s="456">
        <v>1598210</v>
      </c>
      <c r="J29" s="403">
        <v>1598210</v>
      </c>
      <c r="K29" s="126">
        <v>0.62904029984258525</v>
      </c>
      <c r="L29" s="420" t="s">
        <v>472</v>
      </c>
      <c r="O29" s="33"/>
      <c r="P29" s="8"/>
      <c r="Q29" s="33"/>
    </row>
    <row r="30" spans="1:17" ht="17">
      <c r="A30" s="404" t="s">
        <v>68</v>
      </c>
      <c r="B30" s="404" t="s">
        <v>68</v>
      </c>
      <c r="C30" s="379" t="s">
        <v>287</v>
      </c>
      <c r="D30" s="382">
        <v>0.5</v>
      </c>
      <c r="E30" s="381" t="s">
        <v>443</v>
      </c>
      <c r="F30" s="381">
        <v>2025</v>
      </c>
      <c r="G30" s="406" t="s">
        <v>445</v>
      </c>
      <c r="H30" s="402">
        <v>0.968645939175099</v>
      </c>
      <c r="I30" s="456">
        <v>1715629</v>
      </c>
      <c r="J30" s="403">
        <v>1715629</v>
      </c>
      <c r="K30" s="126">
        <v>0.62899086959422013</v>
      </c>
      <c r="L30" s="420" t="s">
        <v>473</v>
      </c>
      <c r="O30" s="33"/>
      <c r="P30" s="8"/>
      <c r="Q30" s="33"/>
    </row>
    <row r="31" spans="1:17" ht="17">
      <c r="A31" s="535" t="s">
        <v>79</v>
      </c>
      <c r="B31" s="404" t="s">
        <v>79</v>
      </c>
      <c r="C31" s="379" t="s">
        <v>287</v>
      </c>
      <c r="D31" s="382">
        <v>0.5</v>
      </c>
      <c r="E31" s="381" t="s">
        <v>474</v>
      </c>
      <c r="F31" s="381">
        <v>2030</v>
      </c>
      <c r="G31" s="406" t="s">
        <v>290</v>
      </c>
      <c r="H31" s="402">
        <v>1</v>
      </c>
      <c r="I31" s="456">
        <v>550871</v>
      </c>
      <c r="J31" s="531">
        <v>1069343</v>
      </c>
      <c r="K31" s="529">
        <v>0.61122782970279055</v>
      </c>
      <c r="L31" s="380" t="s">
        <v>475</v>
      </c>
      <c r="O31" s="33"/>
      <c r="P31" s="8"/>
      <c r="Q31" s="33"/>
    </row>
    <row r="32" spans="1:17" ht="17">
      <c r="A32" s="540"/>
      <c r="B32" s="404" t="s">
        <v>271</v>
      </c>
      <c r="C32" s="379" t="s">
        <v>449</v>
      </c>
      <c r="D32" s="382">
        <v>1</v>
      </c>
      <c r="E32" s="381" t="s">
        <v>443</v>
      </c>
      <c r="F32" s="381">
        <v>2025</v>
      </c>
      <c r="G32" s="406" t="s">
        <v>290</v>
      </c>
      <c r="H32" s="402">
        <v>1</v>
      </c>
      <c r="I32" s="456">
        <v>59232</v>
      </c>
      <c r="J32" s="532"/>
      <c r="K32" s="534"/>
      <c r="L32" s="380"/>
      <c r="O32" s="33"/>
      <c r="P32" s="8"/>
      <c r="Q32" s="33"/>
    </row>
    <row r="33" spans="1:17" ht="17" customHeight="1">
      <c r="A33" s="540"/>
      <c r="B33" s="404" t="s">
        <v>272</v>
      </c>
      <c r="C33" s="379" t="s">
        <v>449</v>
      </c>
      <c r="D33" s="382">
        <v>0.6</v>
      </c>
      <c r="E33" s="381" t="s">
        <v>443</v>
      </c>
      <c r="F33" s="381">
        <v>2030</v>
      </c>
      <c r="G33" s="406" t="s">
        <v>290</v>
      </c>
      <c r="H33" s="402">
        <v>1</v>
      </c>
      <c r="I33" s="456">
        <v>291453</v>
      </c>
      <c r="J33" s="532"/>
      <c r="K33" s="534"/>
      <c r="L33" s="380"/>
      <c r="O33" s="33"/>
      <c r="P33" s="8"/>
      <c r="Q33" s="33"/>
    </row>
    <row r="34" spans="1:17" ht="17">
      <c r="A34" s="536"/>
      <c r="B34" s="404" t="s">
        <v>272</v>
      </c>
      <c r="C34" s="379" t="s">
        <v>449</v>
      </c>
      <c r="D34" s="382">
        <v>1</v>
      </c>
      <c r="E34" s="381" t="s">
        <v>443</v>
      </c>
      <c r="F34" s="381">
        <v>2035</v>
      </c>
      <c r="G34" s="406" t="s">
        <v>290</v>
      </c>
      <c r="H34" s="402">
        <v>1</v>
      </c>
      <c r="I34" s="456">
        <v>291453</v>
      </c>
      <c r="J34" s="533"/>
      <c r="K34" s="530"/>
      <c r="L34" s="380"/>
      <c r="O34" s="33"/>
      <c r="P34" s="8"/>
      <c r="Q34" s="33"/>
    </row>
    <row r="35" spans="1:17" ht="17">
      <c r="A35" s="535" t="s">
        <v>89</v>
      </c>
      <c r="B35" s="535" t="s">
        <v>89</v>
      </c>
      <c r="C35" s="379" t="s">
        <v>328</v>
      </c>
      <c r="D35" s="382">
        <v>0.3</v>
      </c>
      <c r="E35" s="381" t="s">
        <v>443</v>
      </c>
      <c r="F35" s="381">
        <v>2030</v>
      </c>
      <c r="G35" s="406" t="s">
        <v>290</v>
      </c>
      <c r="H35" s="402">
        <v>1</v>
      </c>
      <c r="I35" s="456">
        <v>3109655</v>
      </c>
      <c r="J35" s="531">
        <v>3256289</v>
      </c>
      <c r="K35" s="529">
        <v>0.57983456223167995</v>
      </c>
      <c r="L35" s="383" t="s">
        <v>476</v>
      </c>
      <c r="O35" s="33"/>
      <c r="P35" s="8"/>
      <c r="Q35" s="33"/>
    </row>
    <row r="36" spans="1:17" ht="17">
      <c r="A36" s="536"/>
      <c r="B36" s="536"/>
      <c r="C36" s="379" t="s">
        <v>449</v>
      </c>
      <c r="D36" s="382">
        <v>0.8</v>
      </c>
      <c r="E36" s="381" t="s">
        <v>443</v>
      </c>
      <c r="F36" s="381">
        <v>2035</v>
      </c>
      <c r="G36" s="406" t="s">
        <v>290</v>
      </c>
      <c r="H36" s="402">
        <v>1</v>
      </c>
      <c r="I36" s="456">
        <v>3109655</v>
      </c>
      <c r="J36" s="533"/>
      <c r="K36" s="530"/>
      <c r="L36" s="380"/>
      <c r="N36" s="8"/>
      <c r="O36" s="33"/>
      <c r="P36" s="8"/>
      <c r="Q36" s="33"/>
    </row>
    <row r="37" spans="1:17" ht="17" customHeight="1">
      <c r="A37" s="334" t="s">
        <v>142</v>
      </c>
      <c r="B37" s="334" t="s">
        <v>142</v>
      </c>
      <c r="C37" s="405" t="s">
        <v>287</v>
      </c>
      <c r="D37" s="408">
        <v>0.4</v>
      </c>
      <c r="E37" s="381" t="s">
        <v>443</v>
      </c>
      <c r="F37" s="406">
        <v>2030</v>
      </c>
      <c r="G37" s="406" t="s">
        <v>445</v>
      </c>
      <c r="H37" s="402">
        <v>0.9574823737821081</v>
      </c>
      <c r="I37" s="456">
        <v>775250</v>
      </c>
      <c r="J37" s="403">
        <v>775250</v>
      </c>
      <c r="K37" s="126">
        <v>0.49739344092577048</v>
      </c>
      <c r="L37" s="420" t="s">
        <v>477</v>
      </c>
      <c r="N37" s="8"/>
      <c r="O37" s="33"/>
      <c r="P37" s="8"/>
      <c r="Q37" s="33"/>
    </row>
    <row r="38" spans="1:17" ht="17">
      <c r="A38" s="537" t="s">
        <v>92</v>
      </c>
      <c r="B38" s="404" t="s">
        <v>478</v>
      </c>
      <c r="C38" s="405" t="s">
        <v>287</v>
      </c>
      <c r="D38" s="382">
        <v>0.34</v>
      </c>
      <c r="E38" s="381" t="s">
        <v>443</v>
      </c>
      <c r="F38" s="381">
        <v>2030</v>
      </c>
      <c r="G38" s="406" t="s">
        <v>290</v>
      </c>
      <c r="H38" s="402">
        <v>1</v>
      </c>
      <c r="I38" s="456">
        <v>2692037</v>
      </c>
      <c r="J38" s="531">
        <v>5083536</v>
      </c>
      <c r="K38" s="529">
        <v>0.46425007849122873</v>
      </c>
      <c r="L38" s="380" t="s">
        <v>479</v>
      </c>
      <c r="N38" s="8"/>
      <c r="O38" s="33"/>
      <c r="P38" s="8"/>
      <c r="Q38" s="33"/>
    </row>
    <row r="39" spans="1:17" ht="17">
      <c r="A39" s="538"/>
      <c r="B39" s="404" t="s">
        <v>194</v>
      </c>
      <c r="C39" s="405" t="s">
        <v>287</v>
      </c>
      <c r="D39" s="382">
        <v>1</v>
      </c>
      <c r="E39" s="381" t="s">
        <v>443</v>
      </c>
      <c r="F39" s="381">
        <v>2030</v>
      </c>
      <c r="G39" s="406" t="s">
        <v>290</v>
      </c>
      <c r="H39" s="402">
        <v>1</v>
      </c>
      <c r="I39" s="456">
        <v>198030</v>
      </c>
      <c r="J39" s="532"/>
      <c r="K39" s="534"/>
      <c r="L39" s="380"/>
      <c r="N39" s="8"/>
      <c r="O39" s="33"/>
      <c r="P39" s="8"/>
      <c r="Q39" s="33"/>
    </row>
    <row r="40" spans="1:17" ht="17">
      <c r="A40" s="539"/>
      <c r="B40" s="404" t="s">
        <v>480</v>
      </c>
      <c r="C40" s="405" t="s">
        <v>287</v>
      </c>
      <c r="D40" s="382">
        <v>0.37</v>
      </c>
      <c r="E40" s="381" t="s">
        <v>443</v>
      </c>
      <c r="F40" s="381">
        <v>2030</v>
      </c>
      <c r="G40" s="406" t="s">
        <v>290</v>
      </c>
      <c r="H40" s="402">
        <v>1</v>
      </c>
      <c r="I40" s="456">
        <v>2193469</v>
      </c>
      <c r="J40" s="533"/>
      <c r="K40" s="530"/>
      <c r="L40" s="380" t="s">
        <v>481</v>
      </c>
      <c r="N40" s="8"/>
      <c r="O40" s="33"/>
      <c r="P40" s="8"/>
      <c r="Q40" s="33"/>
    </row>
    <row r="41" spans="1:17" ht="17">
      <c r="A41" s="334" t="s">
        <v>77</v>
      </c>
      <c r="B41" s="334" t="s">
        <v>77</v>
      </c>
      <c r="C41" s="405" t="s">
        <v>287</v>
      </c>
      <c r="D41" s="408">
        <v>0.32</v>
      </c>
      <c r="E41" s="381" t="s">
        <v>443</v>
      </c>
      <c r="F41" s="406">
        <v>2030</v>
      </c>
      <c r="G41" s="406" t="s">
        <v>290</v>
      </c>
      <c r="H41" s="402">
        <v>1</v>
      </c>
      <c r="I41" s="456">
        <v>7610574</v>
      </c>
      <c r="J41" s="403">
        <v>7610574</v>
      </c>
      <c r="K41" s="126">
        <v>0.41558441558441556</v>
      </c>
      <c r="L41" s="383" t="s">
        <v>482</v>
      </c>
      <c r="N41" s="8"/>
      <c r="O41" s="33"/>
      <c r="P41" s="8"/>
      <c r="Q41" s="33"/>
    </row>
    <row r="42" spans="1:17" ht="17">
      <c r="A42" s="404" t="s">
        <v>97</v>
      </c>
      <c r="B42" s="404" t="s">
        <v>97</v>
      </c>
      <c r="C42" s="379" t="s">
        <v>287</v>
      </c>
      <c r="D42" s="382">
        <v>0.25</v>
      </c>
      <c r="E42" s="381" t="s">
        <v>443</v>
      </c>
      <c r="F42" s="381">
        <v>2030</v>
      </c>
      <c r="G42" s="406" t="s">
        <v>290</v>
      </c>
      <c r="H42" s="402">
        <v>1</v>
      </c>
      <c r="I42" s="456">
        <v>809539</v>
      </c>
      <c r="J42" s="403">
        <v>809539</v>
      </c>
      <c r="K42" s="126">
        <v>0.32467532467532467</v>
      </c>
      <c r="L42" s="380"/>
      <c r="N42" s="8"/>
      <c r="O42" s="33"/>
      <c r="P42" s="8"/>
      <c r="Q42" s="33"/>
    </row>
    <row r="43" spans="1:17" ht="17">
      <c r="A43" s="535" t="s">
        <v>99</v>
      </c>
      <c r="B43" s="404" t="s">
        <v>99</v>
      </c>
      <c r="C43" s="379" t="s">
        <v>137</v>
      </c>
      <c r="D43" s="382">
        <v>0.2</v>
      </c>
      <c r="E43" s="381" t="s">
        <v>443</v>
      </c>
      <c r="F43" s="381">
        <v>2030</v>
      </c>
      <c r="G43" s="406" t="s">
        <v>290</v>
      </c>
      <c r="H43" s="402">
        <v>1</v>
      </c>
      <c r="I43" s="456">
        <v>650567</v>
      </c>
      <c r="J43" s="531">
        <v>2594498</v>
      </c>
      <c r="K43" s="529">
        <v>0.27656737700067857</v>
      </c>
      <c r="L43" s="380" t="s">
        <v>483</v>
      </c>
      <c r="N43" s="8"/>
      <c r="O43" s="33"/>
      <c r="P43" s="8"/>
      <c r="Q43" s="33"/>
    </row>
    <row r="44" spans="1:17" ht="17">
      <c r="A44" s="540"/>
      <c r="B44" s="404" t="s">
        <v>99</v>
      </c>
      <c r="C44" s="379" t="s">
        <v>138</v>
      </c>
      <c r="D44" s="382">
        <v>0.15</v>
      </c>
      <c r="E44" s="381" t="s">
        <v>443</v>
      </c>
      <c r="F44" s="381">
        <v>2030</v>
      </c>
      <c r="G44" s="406" t="s">
        <v>290</v>
      </c>
      <c r="H44" s="402">
        <v>1</v>
      </c>
      <c r="I44" s="456">
        <v>1742680</v>
      </c>
      <c r="J44" s="532"/>
      <c r="K44" s="534"/>
      <c r="L44" s="380"/>
      <c r="N44" s="8"/>
      <c r="O44" s="33"/>
      <c r="P44" s="8"/>
      <c r="Q44" s="33"/>
    </row>
    <row r="45" spans="1:17" ht="17">
      <c r="A45" s="536"/>
      <c r="B45" s="404" t="s">
        <v>99</v>
      </c>
      <c r="C45" s="379" t="s">
        <v>135</v>
      </c>
      <c r="D45" s="382">
        <v>0.8</v>
      </c>
      <c r="E45" s="381" t="s">
        <v>443</v>
      </c>
      <c r="F45" s="381">
        <v>2030</v>
      </c>
      <c r="G45" s="406" t="s">
        <v>290</v>
      </c>
      <c r="H45" s="402">
        <v>1</v>
      </c>
      <c r="I45" s="456">
        <v>201251</v>
      </c>
      <c r="J45" s="533"/>
      <c r="K45" s="530"/>
      <c r="L45" s="380"/>
      <c r="N45" s="8"/>
      <c r="O45" s="33"/>
      <c r="P45" s="8"/>
      <c r="Q45" s="33"/>
    </row>
    <row r="46" spans="1:17" ht="17">
      <c r="A46" s="79" t="s">
        <v>91</v>
      </c>
      <c r="B46" s="404" t="s">
        <v>91</v>
      </c>
      <c r="C46" s="78" t="s">
        <v>287</v>
      </c>
      <c r="D46" s="382">
        <v>0.55000000000000004</v>
      </c>
      <c r="E46" s="381" t="s">
        <v>443</v>
      </c>
      <c r="F46" s="381">
        <v>2030</v>
      </c>
      <c r="G46" s="406" t="s">
        <v>484</v>
      </c>
      <c r="H46" s="402">
        <v>0</v>
      </c>
      <c r="I46" s="456">
        <v>2412766</v>
      </c>
      <c r="J46" s="403">
        <v>2412766</v>
      </c>
      <c r="K46" s="126">
        <v>0</v>
      </c>
      <c r="L46" s="380" t="s">
        <v>485</v>
      </c>
      <c r="N46" s="8"/>
      <c r="O46" s="33"/>
      <c r="P46" s="8"/>
      <c r="Q46" s="33"/>
    </row>
    <row r="47" spans="1:17" ht="17" thickBot="1">
      <c r="K47" s="81"/>
      <c r="N47" s="8"/>
      <c r="O47" s="33"/>
      <c r="P47" s="8"/>
      <c r="Q47" s="33"/>
    </row>
    <row r="48" spans="1:17" ht="17" thickBot="1">
      <c r="A48" s="542" t="s">
        <v>486</v>
      </c>
      <c r="B48" s="543"/>
      <c r="G48" s="12"/>
      <c r="N48" s="8"/>
      <c r="O48" s="33"/>
      <c r="P48" s="8"/>
      <c r="Q48" s="33"/>
    </row>
    <row r="49" spans="1:17">
      <c r="A49" s="372">
        <v>2025</v>
      </c>
      <c r="B49" s="375">
        <f>B50</f>
        <v>0.77</v>
      </c>
      <c r="G49" s="12"/>
      <c r="L49" s="14"/>
      <c r="N49" s="8"/>
      <c r="O49" s="33"/>
      <c r="P49" s="8"/>
      <c r="Q49" s="33"/>
    </row>
    <row r="50" spans="1:17">
      <c r="A50" s="373">
        <v>2030</v>
      </c>
      <c r="B50" s="376">
        <v>0.77</v>
      </c>
      <c r="E50"/>
      <c r="F50"/>
      <c r="G50"/>
      <c r="N50" s="8"/>
      <c r="O50" s="33"/>
      <c r="P50" s="8"/>
      <c r="Q50" s="33"/>
    </row>
    <row r="51" spans="1:17" ht="17" thickBot="1">
      <c r="A51" s="374">
        <v>2035</v>
      </c>
      <c r="B51" s="377">
        <v>0.97</v>
      </c>
      <c r="C51" s="22"/>
      <c r="G51" s="12"/>
      <c r="N51" s="8"/>
      <c r="O51" s="33"/>
      <c r="P51" s="8"/>
      <c r="Q51" s="33"/>
    </row>
    <row r="52" spans="1:17" ht="17" thickBot="1">
      <c r="F52" s="23"/>
      <c r="G52" s="12"/>
      <c r="O52" s="33"/>
      <c r="P52" s="8"/>
      <c r="Q52" s="33"/>
    </row>
    <row r="53" spans="1:17" ht="17" customHeight="1">
      <c r="A53" s="544" t="s">
        <v>487</v>
      </c>
      <c r="B53" s="546"/>
      <c r="F53" s="23"/>
      <c r="G53" s="12"/>
      <c r="O53" s="33"/>
      <c r="P53" s="8"/>
      <c r="Q53" s="33"/>
    </row>
    <row r="54" spans="1:17">
      <c r="A54" s="424" t="s">
        <v>456</v>
      </c>
      <c r="B54" s="387">
        <v>1</v>
      </c>
      <c r="F54" s="23"/>
      <c r="O54" s="4"/>
      <c r="Q54" s="3"/>
    </row>
    <row r="55" spans="1:17" ht="17" thickBot="1">
      <c r="A55" s="425" t="s">
        <v>488</v>
      </c>
      <c r="B55" s="388">
        <v>0</v>
      </c>
      <c r="O55" s="4"/>
      <c r="Q55" s="3"/>
    </row>
    <row r="56" spans="1:17" ht="16" customHeight="1" thickBot="1">
      <c r="O56" s="4"/>
      <c r="Q56" s="3"/>
    </row>
    <row r="57" spans="1:17" ht="16" customHeight="1">
      <c r="A57" s="544" t="s">
        <v>489</v>
      </c>
      <c r="B57" s="545"/>
      <c r="C57" s="545"/>
      <c r="D57" s="546"/>
      <c r="E57" s="127"/>
      <c r="G57" s="12"/>
      <c r="O57" s="4"/>
      <c r="Q57" s="3"/>
    </row>
    <row r="58" spans="1:17">
      <c r="A58" s="426" t="s">
        <v>31</v>
      </c>
      <c r="B58" s="427" t="s">
        <v>490</v>
      </c>
      <c r="C58" s="427" t="s">
        <v>491</v>
      </c>
      <c r="D58" s="428" t="s">
        <v>492</v>
      </c>
      <c r="E58" s="60"/>
      <c r="O58" s="4"/>
      <c r="Q58" s="3"/>
    </row>
    <row r="59" spans="1:17">
      <c r="A59" s="24" t="s">
        <v>115</v>
      </c>
      <c r="B59" s="400">
        <v>0.5</v>
      </c>
      <c r="C59" s="389">
        <v>604360.5</v>
      </c>
      <c r="D59" s="384">
        <v>0.7592955469553716</v>
      </c>
      <c r="E59" s="59"/>
      <c r="O59" s="4"/>
      <c r="Q59" s="3"/>
    </row>
    <row r="60" spans="1:17">
      <c r="A60" s="310" t="s">
        <v>83</v>
      </c>
      <c r="B60" s="400">
        <v>0.56000000000000005</v>
      </c>
      <c r="C60" s="389">
        <v>101060.96</v>
      </c>
      <c r="D60" s="384">
        <v>0.80726838479798446</v>
      </c>
      <c r="E60" s="59"/>
      <c r="G60" s="36"/>
      <c r="O60" s="4"/>
      <c r="Q60" s="3"/>
    </row>
    <row r="61" spans="1:17">
      <c r="A61" s="311" t="s">
        <v>90</v>
      </c>
      <c r="B61" s="400">
        <v>0.41</v>
      </c>
      <c r="C61" s="389">
        <v>4169.7</v>
      </c>
      <c r="D61" s="384">
        <v>0.9574823737821081</v>
      </c>
      <c r="O61" s="4"/>
      <c r="Q61" s="3"/>
    </row>
    <row r="62" spans="1:17">
      <c r="A62" s="24" t="s">
        <v>166</v>
      </c>
      <c r="B62" s="400">
        <v>0.41</v>
      </c>
      <c r="C62" s="389">
        <v>105410.18</v>
      </c>
      <c r="D62" s="384">
        <v>0.80374934825837807</v>
      </c>
      <c r="O62" s="4"/>
      <c r="Q62" s="3"/>
    </row>
    <row r="63" spans="1:17">
      <c r="A63" s="24" t="s">
        <v>85</v>
      </c>
      <c r="B63" s="400">
        <v>0.34</v>
      </c>
      <c r="C63" s="389">
        <v>2524.5</v>
      </c>
      <c r="D63" s="384">
        <v>0.96621370067014145</v>
      </c>
      <c r="O63" s="4"/>
      <c r="Q63" s="3"/>
    </row>
    <row r="64" spans="1:17">
      <c r="A64" s="310" t="s">
        <v>86</v>
      </c>
      <c r="B64" s="400">
        <v>0.55000000000000004</v>
      </c>
      <c r="C64" s="389">
        <v>66678.700000000012</v>
      </c>
      <c r="D64" s="384">
        <v>0.73713103142557035</v>
      </c>
      <c r="O64" s="4"/>
      <c r="Q64" s="3"/>
    </row>
    <row r="65" spans="1:17">
      <c r="A65" s="311" t="s">
        <v>95</v>
      </c>
      <c r="B65" s="400">
        <v>0.46</v>
      </c>
      <c r="C65" s="389">
        <v>9861.94</v>
      </c>
      <c r="D65" s="384">
        <v>0.65379605263157903</v>
      </c>
      <c r="O65" s="4"/>
      <c r="Q65" s="3"/>
    </row>
    <row r="66" spans="1:17">
      <c r="A66" s="311" t="s">
        <v>92</v>
      </c>
      <c r="B66" s="400">
        <v>0.3</v>
      </c>
      <c r="C66" s="389">
        <v>33421.199999999997</v>
      </c>
      <c r="D66" s="384">
        <v>0.82385446266020357</v>
      </c>
      <c r="O66" s="4"/>
      <c r="Q66" s="3"/>
    </row>
    <row r="67" spans="1:17">
      <c r="A67" s="311" t="s">
        <v>221</v>
      </c>
      <c r="B67" s="400">
        <v>0.39</v>
      </c>
      <c r="C67" s="389">
        <v>57590.130000000005</v>
      </c>
      <c r="D67" s="384">
        <v>0.78831442322606116</v>
      </c>
      <c r="O67" s="4"/>
    </row>
    <row r="68" spans="1:17">
      <c r="A68" s="24" t="s">
        <v>96</v>
      </c>
      <c r="B68" s="400">
        <v>0</v>
      </c>
      <c r="C68" s="389">
        <v>0</v>
      </c>
      <c r="D68" s="384">
        <v>1</v>
      </c>
    </row>
    <row r="69" spans="1:17" ht="17" thickBot="1">
      <c r="A69" s="401" t="s">
        <v>73</v>
      </c>
      <c r="B69" s="385">
        <v>0.33</v>
      </c>
      <c r="C69" s="390">
        <v>11034.210000000001</v>
      </c>
      <c r="D69" s="386">
        <v>0.968645939175099</v>
      </c>
      <c r="G69" s="10"/>
    </row>
    <row r="71" spans="1:17" s="84" customFormat="1" ht="16" customHeight="1">
      <c r="A71" s="8"/>
      <c r="B71" s="8"/>
      <c r="C71" s="8"/>
      <c r="D71" s="8"/>
      <c r="E71" s="8"/>
      <c r="F71" s="8"/>
      <c r="G71" s="8"/>
      <c r="H71" s="8"/>
      <c r="I71" s="8"/>
      <c r="J71" s="8"/>
      <c r="K71" s="8"/>
      <c r="L71" s="8"/>
      <c r="N71" s="122"/>
    </row>
    <row r="72" spans="1:17">
      <c r="O72" s="8"/>
      <c r="P72" s="8"/>
      <c r="Q72" s="8"/>
    </row>
    <row r="73" spans="1:17">
      <c r="O73" s="8"/>
      <c r="P73" s="8"/>
      <c r="Q73" s="8"/>
    </row>
    <row r="74" spans="1:17">
      <c r="N74" s="8"/>
      <c r="O74" s="8"/>
      <c r="P74" s="8"/>
      <c r="Q74" s="8"/>
    </row>
    <row r="75" spans="1:17">
      <c r="N75" s="8"/>
      <c r="O75" s="8"/>
      <c r="P75" s="8"/>
      <c r="Q75" s="8"/>
    </row>
    <row r="76" spans="1:17">
      <c r="N76" s="8"/>
      <c r="O76" s="8"/>
      <c r="P76" s="8"/>
      <c r="Q76" s="8"/>
    </row>
    <row r="77" spans="1:17">
      <c r="N77" s="8"/>
      <c r="O77" s="8"/>
      <c r="P77" s="8"/>
      <c r="Q77" s="8"/>
    </row>
    <row r="78" spans="1:17">
      <c r="N78" s="8"/>
      <c r="O78" s="8"/>
      <c r="P78" s="8"/>
      <c r="Q78" s="8"/>
    </row>
    <row r="79" spans="1:17">
      <c r="N79" s="8"/>
      <c r="O79" s="8"/>
      <c r="P79" s="8"/>
      <c r="Q79" s="8"/>
    </row>
    <row r="80" spans="1:17">
      <c r="N80" s="8"/>
      <c r="O80" s="8"/>
      <c r="P80" s="8"/>
      <c r="Q80" s="8"/>
    </row>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sheetData>
  <sheetProtection algorithmName="SHA-512" hashValue="VUNI2fRJOkJh2Q0SuMJ8HIJe8Tiq4TupiRtYLGB4pA8wNoV0uFZTpZ6R4xKt7h0SHugpXawa2mJaCsi2t/JG9w==" saltValue="/sCPPq9bM5eUus+FdmYhWQ==" spinCount="100000" sheet="1" objects="1" scenarios="1" selectLockedCells="1" selectUnlockedCells="1"/>
  <mergeCells count="42">
    <mergeCell ref="K4:K5"/>
    <mergeCell ref="A4:A5"/>
    <mergeCell ref="A48:B48"/>
    <mergeCell ref="A57:D57"/>
    <mergeCell ref="A53:B53"/>
    <mergeCell ref="J4:J5"/>
    <mergeCell ref="B4:B5"/>
    <mergeCell ref="A6:A7"/>
    <mergeCell ref="J6:J7"/>
    <mergeCell ref="K6:K7"/>
    <mergeCell ref="J9:J10"/>
    <mergeCell ref="A9:A10"/>
    <mergeCell ref="K9:K10"/>
    <mergeCell ref="A11:A12"/>
    <mergeCell ref="B11:B12"/>
    <mergeCell ref="J11:J12"/>
    <mergeCell ref="K11:K12"/>
    <mergeCell ref="A13:A15"/>
    <mergeCell ref="J13:J15"/>
    <mergeCell ref="K13:K15"/>
    <mergeCell ref="A16:A18"/>
    <mergeCell ref="A19:A26"/>
    <mergeCell ref="J16:J18"/>
    <mergeCell ref="K16:K18"/>
    <mergeCell ref="J19:J26"/>
    <mergeCell ref="K19:K26"/>
    <mergeCell ref="A27:A28"/>
    <mergeCell ref="J27:J28"/>
    <mergeCell ref="K27:K28"/>
    <mergeCell ref="A31:A34"/>
    <mergeCell ref="J31:J34"/>
    <mergeCell ref="K31:K34"/>
    <mergeCell ref="A35:A36"/>
    <mergeCell ref="B35:B36"/>
    <mergeCell ref="A38:A40"/>
    <mergeCell ref="A43:A45"/>
    <mergeCell ref="J35:J36"/>
    <mergeCell ref="K35:K36"/>
    <mergeCell ref="J38:J40"/>
    <mergeCell ref="K38:K40"/>
    <mergeCell ref="J43:J45"/>
    <mergeCell ref="K43:K45"/>
  </mergeCells>
  <phoneticPr fontId="2" type="noConversion"/>
  <conditionalFormatting sqref="K2:K46">
    <cfRule type="colorScale" priority="1">
      <colorScale>
        <cfvo type="min"/>
        <cfvo type="num" val="0"/>
        <cfvo type="max"/>
        <color rgb="FFFCFCFF"/>
        <color theme="0"/>
        <color theme="5"/>
      </colorScale>
    </cfRule>
  </conditionalFormatting>
  <hyperlinks>
    <hyperlink ref="L13" r:id="rId1" xr:uid="{A77EEE3D-C9E5-EA40-9F46-DA384D7392DA}"/>
    <hyperlink ref="L3" r:id="rId2" tooltip="https://www1.hkexnews.hk/listedco/listconews/sehk/2022/0403/2022040300031.pdf" xr:uid="{56679B65-4E07-B547-BEA5-C4EEFC608A64}"/>
    <hyperlink ref="L25" r:id="rId3" display="https://newsroom.porsche.com/en/2022/company/porsche-annual-press-conference-financial-year-2021-annual-and-sustainability-report-27739.html" xr:uid="{DD1B24E3-AC23-B844-B2DB-E768E00A5183}"/>
    <hyperlink ref="L22" r:id="rId4" xr:uid="{552362B6-C233-ED4C-BF8C-4805CD9F84E0}"/>
    <hyperlink ref="L29" r:id="rId5" xr:uid="{5624CCE5-2EF3-9A4D-A4AA-299CA8474656}"/>
    <hyperlink ref="L8" r:id="rId6" xr:uid="{EA69C8BD-2C1A-0E47-B370-4F9D1E6ECE7B}"/>
    <hyperlink ref="L30" r:id="rId7" xr:uid="{03B2ACD3-5958-2647-BADD-7976645863DA}"/>
    <hyperlink ref="L37" r:id="rId8" xr:uid="{F4EF5EFE-4A87-314C-A767-9740F6AE175B}"/>
    <hyperlink ref="L35" r:id="rId9" xr:uid="{2635DA9C-3981-8844-B5B4-5F036BC7965F}"/>
    <hyperlink ref="L41" r:id="rId10" xr:uid="{DCB1877B-58B6-C748-84F4-75C9EEE462AF}"/>
  </hyperlinks>
  <pageMargins left="0.7" right="0.7" top="0.75" bottom="0.75" header="0.3" footer="0.3"/>
  <pageSetup orientation="portrait" horizontalDpi="0" verticalDpi="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04C91-6505-C845-AB9A-10C83E457AB7}">
  <sheetPr>
    <tabColor rgb="FFABA3C8"/>
  </sheetPr>
  <dimension ref="A1:AD1048351"/>
  <sheetViews>
    <sheetView zoomScale="70" zoomScaleNormal="70" workbookViewId="0">
      <selection activeCell="N7" sqref="N7"/>
    </sheetView>
  </sheetViews>
  <sheetFormatPr baseColWidth="10" defaultColWidth="10.83203125" defaultRowHeight="15"/>
  <cols>
    <col min="1" max="1" width="15.1640625" style="43" customWidth="1"/>
    <col min="2" max="2" width="15.5" style="18" customWidth="1"/>
    <col min="3" max="3" width="17.83203125" style="18" customWidth="1"/>
    <col min="4" max="4" width="16.33203125" style="18" customWidth="1"/>
    <col min="5" max="5" width="10" style="18" customWidth="1"/>
    <col min="6" max="6" width="16" style="18" customWidth="1"/>
    <col min="7" max="7" width="19.33203125" style="18" customWidth="1"/>
    <col min="8" max="8" width="17.5" style="18" customWidth="1"/>
    <col min="9" max="9" width="14.83203125" style="18" customWidth="1"/>
    <col min="10" max="10" width="15" style="18" customWidth="1"/>
    <col min="11" max="11" width="19" style="18" customWidth="1"/>
    <col min="12" max="12" width="11.83203125" style="18" customWidth="1"/>
    <col min="13" max="13" width="16.33203125" style="18" customWidth="1"/>
    <col min="14" max="14" width="20.33203125" style="18" customWidth="1"/>
    <col min="15" max="15" width="17.1640625" style="114" customWidth="1"/>
    <col min="16" max="17" width="11.6640625" style="114" customWidth="1"/>
    <col min="18" max="18" width="13.5" style="114" customWidth="1"/>
    <col min="19" max="23" width="11.6640625" style="114" customWidth="1"/>
    <col min="24" max="29" width="9.33203125" style="114" customWidth="1"/>
    <col min="30" max="16384" width="10.83203125" style="18"/>
  </cols>
  <sheetData>
    <row r="1" spans="1:30" ht="15" customHeight="1">
      <c r="A1" s="113"/>
      <c r="B1" s="114"/>
      <c r="C1" s="237"/>
      <c r="D1" s="114"/>
      <c r="E1" s="237"/>
      <c r="F1" s="237"/>
      <c r="G1" s="237"/>
      <c r="H1" s="114"/>
      <c r="I1" s="114"/>
      <c r="J1" s="114"/>
      <c r="K1" s="114"/>
      <c r="L1" s="114"/>
      <c r="N1" s="346"/>
      <c r="O1" s="347" t="s">
        <v>493</v>
      </c>
      <c r="P1" s="347"/>
      <c r="Q1" s="347"/>
      <c r="R1" s="347"/>
      <c r="S1" s="347"/>
      <c r="T1" s="347"/>
      <c r="U1" s="347"/>
      <c r="V1" s="347"/>
      <c r="W1" s="347" t="s">
        <v>494</v>
      </c>
      <c r="X1" s="348"/>
      <c r="Y1" s="349"/>
      <c r="Z1" s="349"/>
      <c r="AA1" s="349"/>
      <c r="AB1" s="349"/>
      <c r="AC1" s="347"/>
      <c r="AD1" s="347"/>
    </row>
    <row r="2" spans="1:30" s="19" customFormat="1" ht="79" customHeight="1">
      <c r="A2" s="439" t="s">
        <v>31</v>
      </c>
      <c r="B2" s="439" t="s">
        <v>495</v>
      </c>
      <c r="C2" s="439" t="s">
        <v>496</v>
      </c>
      <c r="D2" s="439" t="s">
        <v>497</v>
      </c>
      <c r="E2" s="439" t="s">
        <v>492</v>
      </c>
      <c r="F2" s="439" t="s">
        <v>498</v>
      </c>
      <c r="G2" s="439" t="s">
        <v>499</v>
      </c>
      <c r="H2" s="439" t="s">
        <v>500</v>
      </c>
      <c r="I2" s="439" t="s">
        <v>501</v>
      </c>
      <c r="J2" s="439" t="s">
        <v>502</v>
      </c>
      <c r="K2" s="439" t="s">
        <v>503</v>
      </c>
      <c r="L2" s="440" t="s">
        <v>431</v>
      </c>
      <c r="M2" s="233"/>
      <c r="N2" s="92"/>
      <c r="O2" s="350" t="s">
        <v>31</v>
      </c>
      <c r="P2" s="350" t="s">
        <v>290</v>
      </c>
      <c r="Q2" s="350" t="s">
        <v>291</v>
      </c>
      <c r="R2" s="351" t="s">
        <v>504</v>
      </c>
      <c r="S2" s="350" t="s">
        <v>505</v>
      </c>
      <c r="T2" s="350" t="s">
        <v>506</v>
      </c>
      <c r="U2" s="352" t="s">
        <v>492</v>
      </c>
      <c r="V2" s="353"/>
      <c r="W2" s="354" t="s">
        <v>36</v>
      </c>
      <c r="X2" s="354" t="s">
        <v>290</v>
      </c>
      <c r="Y2" s="354" t="s">
        <v>291</v>
      </c>
      <c r="Z2" s="354" t="s">
        <v>505</v>
      </c>
      <c r="AA2" s="354" t="s">
        <v>292</v>
      </c>
      <c r="AB2" s="354" t="s">
        <v>507</v>
      </c>
      <c r="AC2" s="354" t="s">
        <v>508</v>
      </c>
      <c r="AD2" s="353"/>
    </row>
    <row r="3" spans="1:30" ht="16">
      <c r="A3" s="253" t="s">
        <v>61</v>
      </c>
      <c r="B3" s="254">
        <v>53073166948.063538</v>
      </c>
      <c r="C3" s="254">
        <v>0</v>
      </c>
      <c r="D3" s="254">
        <f t="shared" ref="D3:D23" si="0">B3+C3</f>
        <v>53073166948.063538</v>
      </c>
      <c r="E3" s="126">
        <f t="shared" ref="E3:E23" si="1">_xlfn.XLOOKUP(A3,$O$3:$O$23,$U$3:$U$23)</f>
        <v>1</v>
      </c>
      <c r="F3" s="255">
        <f t="shared" ref="F3:F23" si="2">D3*E3</f>
        <v>53073166948.063538</v>
      </c>
      <c r="G3" s="254">
        <f>AVERAGE(_xlfn.XLOOKUP(A3,'Global sales'!$A$3:$A$23,'Global sales'!$H$3:$H$23),_xlfn.XLOOKUP(A3,$W$3:$W$23,$AC$3:$AC$23))</f>
        <v>1419057.5</v>
      </c>
      <c r="H3" s="254">
        <f t="shared" ref="H3:H23" si="3">F3/(10*(G3))</f>
        <v>3740.0293468068444</v>
      </c>
      <c r="I3" s="254">
        <f t="shared" ref="I3:I23" si="4">_xlfn.XLOOKUP(A3,$T$27:$T$53,$V$27:$V$53)</f>
        <v>5763794844.2790699</v>
      </c>
      <c r="J3" s="254">
        <f>I3/G3/10</f>
        <v>406.17063397917775</v>
      </c>
      <c r="K3" s="126">
        <f t="shared" ref="K3:K23" si="5">J3/H3</f>
        <v>0.10860092162805016</v>
      </c>
      <c r="L3" s="254">
        <f>(H3-'GAR 2022 score'!$K$25)/(MAX($H$3:$H$23)-'GAR 2022 score'!$K$25)*100</f>
        <v>100</v>
      </c>
      <c r="M3" s="83"/>
      <c r="N3" s="82"/>
      <c r="O3" s="355" t="s">
        <v>61</v>
      </c>
      <c r="P3" s="356">
        <v>1630855</v>
      </c>
      <c r="Q3" s="356">
        <v>0</v>
      </c>
      <c r="R3" s="357">
        <v>0</v>
      </c>
      <c r="S3" s="356">
        <v>0</v>
      </c>
      <c r="T3" s="356">
        <v>1630855</v>
      </c>
      <c r="U3" s="358">
        <v>1</v>
      </c>
      <c r="V3" s="359"/>
      <c r="W3" s="347" t="s">
        <v>61</v>
      </c>
      <c r="X3" s="353">
        <v>1207260</v>
      </c>
      <c r="Y3" s="353">
        <v>0</v>
      </c>
      <c r="Z3" s="353">
        <v>0</v>
      </c>
      <c r="AA3" s="353">
        <v>1207260</v>
      </c>
      <c r="AB3" s="353">
        <v>1</v>
      </c>
      <c r="AC3" s="353">
        <v>1207260</v>
      </c>
      <c r="AD3" s="347"/>
    </row>
    <row r="4" spans="1:30" ht="16">
      <c r="A4" s="253" t="s">
        <v>64</v>
      </c>
      <c r="B4" s="254">
        <v>64450329219.633034</v>
      </c>
      <c r="C4" s="254">
        <v>54856341.865020931</v>
      </c>
      <c r="D4" s="254">
        <f t="shared" si="0"/>
        <v>64505185561.498055</v>
      </c>
      <c r="E4" s="126">
        <f t="shared" si="1"/>
        <v>0.7592955469553716</v>
      </c>
      <c r="F4" s="255">
        <f t="shared" si="2"/>
        <v>48978500152.375404</v>
      </c>
      <c r="G4" s="254">
        <f>AVERAGE(_xlfn.XLOOKUP(A4,'Global sales'!$A$3:$A$23,'Global sales'!$H$3:$H$23),_xlfn.XLOOKUP(A4,$W$3:$W$23,$AC$3:$AC$23))</f>
        <v>1931847.5</v>
      </c>
      <c r="H4" s="254">
        <f t="shared" si="3"/>
        <v>2535.3191777495585</v>
      </c>
      <c r="I4" s="254">
        <f t="shared" si="4"/>
        <v>0</v>
      </c>
      <c r="J4" s="254">
        <f t="shared" ref="J4:J23" si="6">I4/G4/10</f>
        <v>0</v>
      </c>
      <c r="K4" s="126">
        <f t="shared" si="5"/>
        <v>0</v>
      </c>
      <c r="L4" s="254">
        <f>(H4-'GAR 2022 score'!$K$25)/(MAX($H$3:$H$23)-'GAR 2022 score'!$K$25)*100</f>
        <v>67.676969804740764</v>
      </c>
      <c r="M4" s="83"/>
      <c r="N4" s="82"/>
      <c r="O4" s="355" t="s">
        <v>64</v>
      </c>
      <c r="P4" s="356">
        <v>1302078</v>
      </c>
      <c r="Q4" s="356">
        <v>1208721</v>
      </c>
      <c r="R4" s="357">
        <v>0.5</v>
      </c>
      <c r="S4" s="356">
        <v>604360.5</v>
      </c>
      <c r="T4" s="356">
        <v>1906438.5</v>
      </c>
      <c r="U4" s="358">
        <v>0.7592955469553716</v>
      </c>
      <c r="V4" s="359"/>
      <c r="W4" s="347" t="s">
        <v>64</v>
      </c>
      <c r="X4" s="353">
        <v>665950</v>
      </c>
      <c r="Y4" s="353">
        <v>668626</v>
      </c>
      <c r="Z4" s="353">
        <v>262404.97970095498</v>
      </c>
      <c r="AA4" s="353">
        <v>928354.97970095545</v>
      </c>
      <c r="AB4" s="353">
        <v>0.39245404710698506</v>
      </c>
      <c r="AC4" s="353">
        <v>1352690</v>
      </c>
      <c r="AD4" s="347"/>
    </row>
    <row r="5" spans="1:30" ht="16">
      <c r="A5" s="253" t="s">
        <v>68</v>
      </c>
      <c r="B5" s="254">
        <v>42699080511.988434</v>
      </c>
      <c r="C5" s="254">
        <v>0</v>
      </c>
      <c r="D5" s="254">
        <f t="shared" si="0"/>
        <v>42699080511.988434</v>
      </c>
      <c r="E5" s="126">
        <f t="shared" si="1"/>
        <v>0.968645939175099</v>
      </c>
      <c r="F5" s="255">
        <f t="shared" si="2"/>
        <v>41360290944.448204</v>
      </c>
      <c r="G5" s="254">
        <f>AVERAGE(_xlfn.XLOOKUP(A5,'Global sales'!$A$3:$A$23,'Global sales'!$H$3:$H$23),_xlfn.XLOOKUP(A5,$W$3:$W$23,$AC$3:$AC$23))</f>
        <v>1704031</v>
      </c>
      <c r="H5" s="254">
        <f t="shared" si="3"/>
        <v>2427.2029642916241</v>
      </c>
      <c r="I5" s="254">
        <f t="shared" si="4"/>
        <v>0</v>
      </c>
      <c r="J5" s="254">
        <f t="shared" si="6"/>
        <v>0</v>
      </c>
      <c r="K5" s="126">
        <f t="shared" si="5"/>
        <v>0</v>
      </c>
      <c r="L5" s="254">
        <f>(H5-'GAR 2022 score'!$K$25)/(MAX($H$3:$H$23)-'GAR 2022 score'!$K$25)*100</f>
        <v>64.776152892958109</v>
      </c>
      <c r="M5" s="83"/>
      <c r="N5" s="82"/>
      <c r="O5" s="355" t="s">
        <v>68</v>
      </c>
      <c r="P5" s="356">
        <v>681073</v>
      </c>
      <c r="Q5" s="356">
        <v>33437</v>
      </c>
      <c r="R5" s="357">
        <v>0.33</v>
      </c>
      <c r="S5" s="356">
        <v>11034.210000000001</v>
      </c>
      <c r="T5" s="356">
        <v>692107.21</v>
      </c>
      <c r="U5" s="358">
        <v>0.968645939175099</v>
      </c>
      <c r="V5" s="359"/>
      <c r="W5" s="347" t="s">
        <v>68</v>
      </c>
      <c r="X5" s="353">
        <v>511335</v>
      </c>
      <c r="Y5" s="353">
        <v>38106</v>
      </c>
      <c r="Z5" s="353">
        <v>9651.4061166397696</v>
      </c>
      <c r="AA5" s="353">
        <v>520986.40611663973</v>
      </c>
      <c r="AB5" s="353">
        <v>0.25327785956646642</v>
      </c>
      <c r="AC5" s="353">
        <v>1692433</v>
      </c>
      <c r="AD5" s="347"/>
    </row>
    <row r="6" spans="1:30" ht="16">
      <c r="A6" s="253" t="s">
        <v>72</v>
      </c>
      <c r="B6" s="254">
        <v>40227220596.624893</v>
      </c>
      <c r="C6" s="254">
        <v>0</v>
      </c>
      <c r="D6" s="254">
        <f t="shared" si="0"/>
        <v>40227220596.624893</v>
      </c>
      <c r="E6" s="126">
        <f t="shared" si="1"/>
        <v>0.80374934825837807</v>
      </c>
      <c r="F6" s="255">
        <f t="shared" si="2"/>
        <v>32332602336.78326</v>
      </c>
      <c r="G6" s="254">
        <f>AVERAGE(_xlfn.XLOOKUP(A6,'Global sales'!$A$3:$A$23,'Global sales'!$H$3:$H$23),_xlfn.XLOOKUP(A6,$W$3:$W$23,$AC$3:$AC$23))</f>
        <v>1928348</v>
      </c>
      <c r="H6" s="254">
        <f t="shared" si="3"/>
        <v>1676.6995551001821</v>
      </c>
      <c r="I6" s="254">
        <f t="shared" si="4"/>
        <v>0</v>
      </c>
      <c r="J6" s="254">
        <f t="shared" si="6"/>
        <v>0</v>
      </c>
      <c r="K6" s="126">
        <f t="shared" si="5"/>
        <v>0</v>
      </c>
      <c r="L6" s="254">
        <f>(H6-'GAR 2022 score'!$K$25)/(MAX($H$3:$H$23)-'GAR 2022 score'!$K$25)*100</f>
        <v>44.639737529316854</v>
      </c>
      <c r="M6" s="83"/>
      <c r="N6" s="82"/>
      <c r="O6" s="355" t="s">
        <v>72</v>
      </c>
      <c r="P6" s="356">
        <v>515831</v>
      </c>
      <c r="Q6" s="356">
        <v>257098</v>
      </c>
      <c r="R6" s="357">
        <v>0.41</v>
      </c>
      <c r="S6" s="356">
        <v>105410.18</v>
      </c>
      <c r="T6" s="356">
        <v>621241.17999999993</v>
      </c>
      <c r="U6" s="358">
        <v>0.80374934825837807</v>
      </c>
      <c r="V6" s="359"/>
      <c r="W6" s="347" t="s">
        <v>72</v>
      </c>
      <c r="X6" s="353">
        <v>335212</v>
      </c>
      <c r="Y6" s="353">
        <v>189599</v>
      </c>
      <c r="Z6" s="353">
        <v>59941.315793912094</v>
      </c>
      <c r="AA6" s="353">
        <v>395153.31579391111</v>
      </c>
      <c r="AB6" s="353">
        <v>0.31614784779409222</v>
      </c>
      <c r="AC6" s="353">
        <v>1741224</v>
      </c>
      <c r="AD6" s="347"/>
    </row>
    <row r="7" spans="1:30" ht="16">
      <c r="A7" s="253" t="s">
        <v>509</v>
      </c>
      <c r="B7" s="254">
        <v>39942719614.004898</v>
      </c>
      <c r="C7" s="254">
        <v>1210277095.2696967</v>
      </c>
      <c r="D7" s="254">
        <f t="shared" si="0"/>
        <v>41152996709.274597</v>
      </c>
      <c r="E7" s="126">
        <f t="shared" si="1"/>
        <v>0.78831442322606116</v>
      </c>
      <c r="F7" s="255">
        <f t="shared" si="2"/>
        <v>32441500864.895798</v>
      </c>
      <c r="G7" s="254">
        <f>AVERAGE(_xlfn.XLOOKUP(A7,'Global sales'!$A$3:$A$23,'Global sales'!$H$3:$H$23),_xlfn.XLOOKUP(A7,$W$3:$W$23,$AC$3:$AC$23))</f>
        <v>2069915</v>
      </c>
      <c r="H7" s="254">
        <f t="shared" si="3"/>
        <v>1567.2866211847249</v>
      </c>
      <c r="I7" s="254">
        <f t="shared" si="4"/>
        <v>721327880.30834508</v>
      </c>
      <c r="J7" s="254">
        <f t="shared" si="6"/>
        <v>34.848188467079332</v>
      </c>
      <c r="K7" s="126">
        <f t="shared" si="5"/>
        <v>2.2234725924437038E-2</v>
      </c>
      <c r="L7" s="254">
        <f>(H7-'GAR 2022 score'!$K$25)/(MAX($H$3:$H$23)-'GAR 2022 score'!$K$25)*100</f>
        <v>41.704128901169661</v>
      </c>
      <c r="M7" s="83"/>
      <c r="N7" s="82"/>
      <c r="O7" s="355" t="s">
        <v>76</v>
      </c>
      <c r="P7" s="356">
        <v>231532</v>
      </c>
      <c r="Q7" s="356">
        <v>180466</v>
      </c>
      <c r="R7" s="357">
        <v>0.56000000000000005</v>
      </c>
      <c r="S7" s="356">
        <v>101060.96</v>
      </c>
      <c r="T7" s="356">
        <v>332592.96000000002</v>
      </c>
      <c r="U7" s="358">
        <v>0.80726838479798446</v>
      </c>
      <c r="V7" s="359"/>
      <c r="W7" s="347" t="s">
        <v>76</v>
      </c>
      <c r="X7" s="353">
        <v>200024</v>
      </c>
      <c r="Y7" s="353">
        <v>33752</v>
      </c>
      <c r="Z7" s="353">
        <v>18754.214699588701</v>
      </c>
      <c r="AA7" s="353">
        <v>218778.21469958819</v>
      </c>
      <c r="AB7" s="353">
        <v>0.55564750828361875</v>
      </c>
      <c r="AC7" s="353">
        <v>1342916</v>
      </c>
      <c r="AD7" s="347"/>
    </row>
    <row r="8" spans="1:30" ht="16">
      <c r="A8" s="253" t="s">
        <v>76</v>
      </c>
      <c r="B8" s="254">
        <v>24563437852.224373</v>
      </c>
      <c r="C8" s="254">
        <v>0</v>
      </c>
      <c r="D8" s="254">
        <f t="shared" si="0"/>
        <v>24563437852.224373</v>
      </c>
      <c r="E8" s="126">
        <f t="shared" si="1"/>
        <v>0.80726838479798446</v>
      </c>
      <c r="F8" s="255">
        <f t="shared" si="2"/>
        <v>19829286800.050842</v>
      </c>
      <c r="G8" s="254">
        <f>AVERAGE(_xlfn.XLOOKUP(A8,'Global sales'!$A$3:$A$23,'Global sales'!$H$3:$H$23),_xlfn.XLOOKUP(A8,$W$3:$W$23,$AC$3:$AC$23))</f>
        <v>1470563</v>
      </c>
      <c r="H8" s="254">
        <f t="shared" si="3"/>
        <v>1348.4146411987003</v>
      </c>
      <c r="I8" s="254">
        <f t="shared" si="4"/>
        <v>0</v>
      </c>
      <c r="J8" s="254">
        <f t="shared" si="6"/>
        <v>0</v>
      </c>
      <c r="K8" s="126">
        <f t="shared" si="5"/>
        <v>0</v>
      </c>
      <c r="L8" s="254">
        <f>(H8-'GAR 2022 score'!$K$25)/(MAX($H$3:$H$23)-'GAR 2022 score'!$K$25)*100</f>
        <v>35.8316744306305</v>
      </c>
      <c r="M8" s="83"/>
      <c r="N8" s="82"/>
      <c r="O8" s="355" t="s">
        <v>65</v>
      </c>
      <c r="P8" s="356">
        <v>346118</v>
      </c>
      <c r="Q8" s="356">
        <v>163639</v>
      </c>
      <c r="R8" s="357">
        <v>0.29741978585178402</v>
      </c>
      <c r="S8" s="356">
        <v>48669.476337000087</v>
      </c>
      <c r="T8" s="356">
        <v>394787.47633700009</v>
      </c>
      <c r="U8" s="358">
        <v>0.77446209926886744</v>
      </c>
      <c r="V8" s="359"/>
      <c r="W8" s="347" t="s">
        <v>65</v>
      </c>
      <c r="X8" s="353">
        <v>189481</v>
      </c>
      <c r="Y8" s="353">
        <v>197394</v>
      </c>
      <c r="Z8" s="353">
        <v>53818.587737818198</v>
      </c>
      <c r="AA8" s="353">
        <v>243299.58773781799</v>
      </c>
      <c r="AB8" s="353">
        <v>0.27264550968022433</v>
      </c>
      <c r="AC8" s="353">
        <v>1985190</v>
      </c>
      <c r="AD8" s="347"/>
    </row>
    <row r="9" spans="1:30" ht="16">
      <c r="A9" s="253" t="s">
        <v>78</v>
      </c>
      <c r="B9" s="254">
        <v>64270490494.921089</v>
      </c>
      <c r="C9" s="254">
        <v>5402676953.283927</v>
      </c>
      <c r="D9" s="254">
        <f t="shared" si="0"/>
        <v>69673167448.205017</v>
      </c>
      <c r="E9" s="126">
        <f t="shared" si="1"/>
        <v>0.82036151904331966</v>
      </c>
      <c r="F9" s="255">
        <f t="shared" si="2"/>
        <v>57157185484.369041</v>
      </c>
      <c r="G9" s="254">
        <f>AVERAGE(_xlfn.XLOOKUP(A9,'Global sales'!$A$3:$A$23,'Global sales'!$H$3:$H$23),_xlfn.XLOOKUP(A9,$W$3:$W$23,$AC$3:$AC$23))</f>
        <v>6791309.5</v>
      </c>
      <c r="H9" s="254">
        <f t="shared" si="3"/>
        <v>841.62245122783816</v>
      </c>
      <c r="I9" s="254">
        <f t="shared" si="4"/>
        <v>1093273609.6524053</v>
      </c>
      <c r="J9" s="254">
        <f t="shared" si="6"/>
        <v>16.098126725816357</v>
      </c>
      <c r="K9" s="126">
        <f t="shared" si="5"/>
        <v>1.9127492027251523E-2</v>
      </c>
      <c r="L9" s="254">
        <f>(H9-'GAR 2022 score'!$K$25)/(MAX($H$3:$H$23)-'GAR 2022 score'!$K$25)*100</f>
        <v>22.234163859296732</v>
      </c>
      <c r="M9" s="83"/>
      <c r="N9" s="82"/>
      <c r="O9" s="355" t="s">
        <v>82</v>
      </c>
      <c r="P9" s="356">
        <v>154612</v>
      </c>
      <c r="Q9" s="356">
        <v>10173</v>
      </c>
      <c r="R9" s="357">
        <v>0.24</v>
      </c>
      <c r="S9" s="356">
        <v>2441.52</v>
      </c>
      <c r="T9" s="356">
        <v>157053.51999999999</v>
      </c>
      <c r="U9" s="358">
        <v>0.95308140910883876</v>
      </c>
      <c r="V9" s="359"/>
      <c r="W9" s="347" t="s">
        <v>82</v>
      </c>
      <c r="X9" s="353">
        <v>157560</v>
      </c>
      <c r="Y9" s="353">
        <v>16437</v>
      </c>
      <c r="Z9" s="353">
        <v>3676.29695543964</v>
      </c>
      <c r="AA9" s="353">
        <v>161236.29695543897</v>
      </c>
      <c r="AB9" s="353">
        <v>0.22365985006020805</v>
      </c>
      <c r="AC9" s="353">
        <v>1444978</v>
      </c>
      <c r="AD9" s="347"/>
    </row>
    <row r="10" spans="1:30" ht="16">
      <c r="A10" s="253" t="s">
        <v>92</v>
      </c>
      <c r="B10" s="254">
        <v>48951975575.813805</v>
      </c>
      <c r="C10" s="254">
        <v>0</v>
      </c>
      <c r="D10" s="254">
        <f t="shared" si="0"/>
        <v>48951975575.813805</v>
      </c>
      <c r="E10" s="126">
        <f t="shared" si="1"/>
        <v>0.82385446266020357</v>
      </c>
      <c r="F10" s="255">
        <f t="shared" si="2"/>
        <v>40329303534.167488</v>
      </c>
      <c r="G10" s="254">
        <f>AVERAGE(_xlfn.XLOOKUP(A10,'Global sales'!$A$3:$A$23,'Global sales'!$H$3:$H$23),_xlfn.XLOOKUP(A10,$W$3:$W$23,$AC$3:$AC$23))</f>
        <v>4981896.5</v>
      </c>
      <c r="H10" s="254">
        <f t="shared" si="3"/>
        <v>809.51708920824603</v>
      </c>
      <c r="I10" s="254">
        <f t="shared" si="4"/>
        <v>378981639.75312114</v>
      </c>
      <c r="J10" s="254">
        <f t="shared" si="6"/>
        <v>7.6071760975588543</v>
      </c>
      <c r="K10" s="126">
        <f t="shared" si="5"/>
        <v>9.3971778965149539E-3</v>
      </c>
      <c r="L10" s="254">
        <f>(H10-'GAR 2022 score'!$K$25)/(MAX($H$3:$H$23)-'GAR 2022 score'!$K$25)*100</f>
        <v>21.372759504421019</v>
      </c>
      <c r="M10" s="83"/>
      <c r="N10" s="82"/>
      <c r="O10" s="355" t="s">
        <v>86</v>
      </c>
      <c r="P10" s="356">
        <v>86304</v>
      </c>
      <c r="Q10" s="356">
        <v>121234</v>
      </c>
      <c r="R10" s="357">
        <v>0.55000000000000004</v>
      </c>
      <c r="S10" s="356">
        <v>66678.700000000012</v>
      </c>
      <c r="T10" s="356">
        <v>152982.70000000001</v>
      </c>
      <c r="U10" s="358">
        <v>0.73713103142557035</v>
      </c>
      <c r="V10" s="359"/>
      <c r="W10" s="347" t="s">
        <v>81</v>
      </c>
      <c r="X10" s="353">
        <v>90612</v>
      </c>
      <c r="Y10" s="360">
        <v>11119</v>
      </c>
      <c r="Z10" s="353">
        <v>6128.1749510011996</v>
      </c>
      <c r="AA10" s="353">
        <v>96740.174951001085</v>
      </c>
      <c r="AB10" s="353">
        <v>0.55114443304264771</v>
      </c>
      <c r="AC10" s="353">
        <v>924984</v>
      </c>
      <c r="AD10" s="347"/>
    </row>
    <row r="11" spans="1:30" ht="16">
      <c r="A11" s="253" t="s">
        <v>79</v>
      </c>
      <c r="B11" s="254">
        <v>10614652336.582977</v>
      </c>
      <c r="C11" s="254">
        <v>0</v>
      </c>
      <c r="D11" s="254">
        <f t="shared" si="0"/>
        <v>10614652336.582977</v>
      </c>
      <c r="E11" s="126">
        <f t="shared" si="1"/>
        <v>0.72250165502631492</v>
      </c>
      <c r="F11" s="255">
        <f t="shared" si="2"/>
        <v>7669103880.7101421</v>
      </c>
      <c r="G11" s="254">
        <f>AVERAGE(_xlfn.XLOOKUP(A11,'Global sales'!$A$3:$A$23,'Global sales'!$H$3:$H$23),_xlfn.XLOOKUP(A11,$W$3:$W$23,$AC$3:$AC$23))</f>
        <v>1013954.5</v>
      </c>
      <c r="H11" s="254">
        <f t="shared" si="3"/>
        <v>756.35582077007814</v>
      </c>
      <c r="I11" s="254">
        <f t="shared" si="4"/>
        <v>0</v>
      </c>
      <c r="J11" s="254">
        <f t="shared" si="6"/>
        <v>0</v>
      </c>
      <c r="K11" s="126">
        <f t="shared" si="5"/>
        <v>0</v>
      </c>
      <c r="L11" s="254">
        <f>(H11-'GAR 2022 score'!$K$25)/(MAX($H$3:$H$23)-'GAR 2022 score'!$K$25)*100</f>
        <v>19.946413708494166</v>
      </c>
      <c r="M11" s="83"/>
      <c r="N11" s="82"/>
      <c r="O11" s="355" t="s">
        <v>71</v>
      </c>
      <c r="P11" s="356">
        <v>277855</v>
      </c>
      <c r="Q11" s="356">
        <v>147667</v>
      </c>
      <c r="R11" s="357">
        <v>0.39</v>
      </c>
      <c r="S11" s="356">
        <v>57590.130000000005</v>
      </c>
      <c r="T11" s="356">
        <v>335445.13</v>
      </c>
      <c r="U11" s="358">
        <v>0.78831442322606116</v>
      </c>
      <c r="V11" s="359"/>
      <c r="W11" s="347" t="s">
        <v>71</v>
      </c>
      <c r="X11" s="353">
        <v>150172</v>
      </c>
      <c r="Y11" s="353">
        <v>161827</v>
      </c>
      <c r="Z11" s="353">
        <v>49420.259538625403</v>
      </c>
      <c r="AA11" s="353">
        <v>199592.259538624</v>
      </c>
      <c r="AB11" s="353">
        <v>0.30538945626270897</v>
      </c>
      <c r="AC11" s="353">
        <v>1923697</v>
      </c>
      <c r="AD11" s="347"/>
    </row>
    <row r="12" spans="1:30" ht="16">
      <c r="A12" s="253" t="s">
        <v>89</v>
      </c>
      <c r="B12" s="254">
        <v>35376522866.760826</v>
      </c>
      <c r="C12" s="254">
        <v>0</v>
      </c>
      <c r="D12" s="254">
        <f t="shared" si="0"/>
        <v>35376522866.760826</v>
      </c>
      <c r="E12" s="126">
        <f t="shared" si="1"/>
        <v>0.65379605263157903</v>
      </c>
      <c r="F12" s="255">
        <f t="shared" si="2"/>
        <v>23129031006.119019</v>
      </c>
      <c r="G12" s="254">
        <f>AVERAGE(_xlfn.XLOOKUP(A12,'Global sales'!$A$3:$A$23,'Global sales'!$H$3:$H$23),_xlfn.XLOOKUP(A12,$W$3:$W$23,$AC$3:$AC$23))</f>
        <v>3152406</v>
      </c>
      <c r="H12" s="254">
        <f t="shared" si="3"/>
        <v>733.69454969058609</v>
      </c>
      <c r="I12" s="254">
        <f t="shared" si="4"/>
        <v>126195712.2940836</v>
      </c>
      <c r="J12" s="254">
        <f t="shared" si="6"/>
        <v>4.0031554404503611</v>
      </c>
      <c r="K12" s="126">
        <f t="shared" si="5"/>
        <v>5.4561607989844999E-3</v>
      </c>
      <c r="L12" s="254">
        <f>(H12-'GAR 2022 score'!$K$25)/(MAX($H$3:$H$23)-'GAR 2022 score'!$K$25)*100</f>
        <v>19.338399458943538</v>
      </c>
      <c r="M12" s="83"/>
      <c r="N12" s="82"/>
      <c r="O12" s="355" t="s">
        <v>69</v>
      </c>
      <c r="P12" s="356">
        <v>733149</v>
      </c>
      <c r="Q12" s="356">
        <v>243729</v>
      </c>
      <c r="R12" s="357">
        <v>0.28000000000000003</v>
      </c>
      <c r="S12" s="356">
        <v>68244.12000000001</v>
      </c>
      <c r="T12" s="356">
        <v>801393.12</v>
      </c>
      <c r="U12" s="358">
        <v>0.82036151904331966</v>
      </c>
      <c r="V12" s="359"/>
      <c r="W12" s="347" t="s">
        <v>69</v>
      </c>
      <c r="X12" s="353">
        <v>525866</v>
      </c>
      <c r="Y12" s="353">
        <v>219124</v>
      </c>
      <c r="Z12" s="353">
        <v>54958.540787670601</v>
      </c>
      <c r="AA12" s="353">
        <v>580824.54078767041</v>
      </c>
      <c r="AB12" s="353">
        <v>0.25081022976794237</v>
      </c>
      <c r="AC12" s="353">
        <v>6052626</v>
      </c>
      <c r="AD12" s="347"/>
    </row>
    <row r="13" spans="1:30" ht="16">
      <c r="A13" s="253" t="s">
        <v>65</v>
      </c>
      <c r="B13" s="254">
        <v>17920541925.915859</v>
      </c>
      <c r="C13" s="254">
        <v>269367016.09663349</v>
      </c>
      <c r="D13" s="254">
        <f t="shared" si="0"/>
        <v>18189908942.012493</v>
      </c>
      <c r="E13" s="126">
        <f t="shared" si="1"/>
        <v>0.77446209926886744</v>
      </c>
      <c r="F13" s="255">
        <f t="shared" si="2"/>
        <v>14087395064.74054</v>
      </c>
      <c r="G13" s="254">
        <f>AVERAGE(_xlfn.XLOOKUP(A13,'Global sales'!$A$3:$A$23,'Global sales'!$H$3:$H$23),_xlfn.XLOOKUP(A13,$W$3:$W$23,$AC$3:$AC$23))</f>
        <v>2139960</v>
      </c>
      <c r="H13" s="254">
        <f t="shared" si="3"/>
        <v>658.30179371299187</v>
      </c>
      <c r="I13" s="254">
        <f t="shared" si="4"/>
        <v>252785927.45903754</v>
      </c>
      <c r="J13" s="254">
        <f t="shared" si="6"/>
        <v>11.81264731392351</v>
      </c>
      <c r="K13" s="126">
        <f t="shared" si="5"/>
        <v>1.7944121414734619E-2</v>
      </c>
      <c r="L13" s="254">
        <f>(H13-'GAR 2022 score'!$K$25)/(MAX($H$3:$H$23)-'GAR 2022 score'!$K$25)*100</f>
        <v>17.315570740003995</v>
      </c>
      <c r="M13" s="83"/>
      <c r="N13" s="82"/>
      <c r="O13" s="355" t="s">
        <v>74</v>
      </c>
      <c r="P13" s="356">
        <v>305480</v>
      </c>
      <c r="Q13" s="356">
        <v>285106</v>
      </c>
      <c r="R13" s="357">
        <v>0.3</v>
      </c>
      <c r="S13" s="356">
        <v>85531.8</v>
      </c>
      <c r="T13" s="356">
        <v>391011.8</v>
      </c>
      <c r="U13" s="358">
        <v>0.66207427876719049</v>
      </c>
      <c r="V13" s="359"/>
      <c r="W13" s="347" t="s">
        <v>74</v>
      </c>
      <c r="X13" s="353">
        <v>296512</v>
      </c>
      <c r="Y13" s="353">
        <v>214755</v>
      </c>
      <c r="Z13" s="353">
        <v>54122.935272001101</v>
      </c>
      <c r="AA13" s="353">
        <v>350634.9352720012</v>
      </c>
      <c r="AB13" s="353">
        <v>0.25202177025913763</v>
      </c>
      <c r="AC13" s="353">
        <v>4250963</v>
      </c>
      <c r="AD13" s="347"/>
    </row>
    <row r="14" spans="1:30" ht="16">
      <c r="A14" s="253" t="s">
        <v>90</v>
      </c>
      <c r="B14" s="254">
        <v>4597230890.6102962</v>
      </c>
      <c r="C14" s="254">
        <v>0</v>
      </c>
      <c r="D14" s="254">
        <f t="shared" si="0"/>
        <v>4597230890.6102962</v>
      </c>
      <c r="E14" s="126">
        <f t="shared" si="1"/>
        <v>0.9574823737821081</v>
      </c>
      <c r="F14" s="255">
        <f t="shared" si="2"/>
        <v>4401767545.9659815</v>
      </c>
      <c r="G14" s="254">
        <f>AVERAGE(_xlfn.XLOOKUP(A14,'Global sales'!$A$3:$A$23,'Global sales'!$H$3:$H$23),_xlfn.XLOOKUP(A14,$W$3:$W$23,$AC$3:$AC$23))</f>
        <v>670012</v>
      </c>
      <c r="H14" s="254">
        <f t="shared" si="3"/>
        <v>656.96846414183346</v>
      </c>
      <c r="I14" s="254">
        <f t="shared" si="4"/>
        <v>0</v>
      </c>
      <c r="J14" s="254">
        <f t="shared" si="6"/>
        <v>0</v>
      </c>
      <c r="K14" s="126">
        <f t="shared" si="5"/>
        <v>0</v>
      </c>
      <c r="L14" s="254">
        <f>(H14-'GAR 2022 score'!$K$25)/(MAX($H$3:$H$23)-'GAR 2022 score'!$K$25)*100</f>
        <v>17.279796781174952</v>
      </c>
      <c r="M14" s="83"/>
      <c r="N14" s="82"/>
      <c r="O14" s="355" t="s">
        <v>92</v>
      </c>
      <c r="P14" s="356">
        <v>331314</v>
      </c>
      <c r="Q14" s="356">
        <v>111404</v>
      </c>
      <c r="R14" s="357">
        <v>0.3</v>
      </c>
      <c r="S14" s="356">
        <v>33421.199999999997</v>
      </c>
      <c r="T14" s="356">
        <v>364735.2</v>
      </c>
      <c r="U14" s="358">
        <v>0.82385446266020357</v>
      </c>
      <c r="V14" s="359"/>
      <c r="W14" s="347" t="s">
        <v>84</v>
      </c>
      <c r="X14" s="353">
        <v>350819</v>
      </c>
      <c r="Y14" s="353">
        <v>119763</v>
      </c>
      <c r="Z14" s="353">
        <v>32014.356236403601</v>
      </c>
      <c r="AA14" s="353">
        <v>382833.35623640358</v>
      </c>
      <c r="AB14" s="353">
        <v>0.26731424760905792</v>
      </c>
      <c r="AC14" s="353">
        <v>4880257</v>
      </c>
      <c r="AD14" s="347"/>
    </row>
    <row r="15" spans="1:30" ht="16">
      <c r="A15" s="253" t="s">
        <v>98</v>
      </c>
      <c r="B15" s="254">
        <v>9518256620.6933823</v>
      </c>
      <c r="C15" s="254">
        <v>0</v>
      </c>
      <c r="D15" s="254">
        <f t="shared" si="0"/>
        <v>9518256620.6933823</v>
      </c>
      <c r="E15" s="126">
        <f t="shared" si="1"/>
        <v>0.43372667749716937</v>
      </c>
      <c r="F15" s="255">
        <f t="shared" si="2"/>
        <v>4128321819.6587758</v>
      </c>
      <c r="G15" s="254">
        <f>AVERAGE(_xlfn.XLOOKUP(A15,'Global sales'!$A$3:$A$23,'Global sales'!$H$3:$H$23),_xlfn.XLOOKUP(A15,$W$3:$W$23,$AC$3:$AC$23))</f>
        <v>738988.5</v>
      </c>
      <c r="H15" s="254">
        <f t="shared" si="3"/>
        <v>558.6449342119364</v>
      </c>
      <c r="I15" s="254">
        <f t="shared" si="4"/>
        <v>0</v>
      </c>
      <c r="J15" s="254">
        <f t="shared" si="6"/>
        <v>0</v>
      </c>
      <c r="K15" s="126">
        <f t="shared" si="5"/>
        <v>0</v>
      </c>
      <c r="L15" s="254">
        <f>(H15-'GAR 2022 score'!$K$25)/(MAX($H$3:$H$23)-'GAR 2022 score'!$K$25)*100</f>
        <v>14.641722903774642</v>
      </c>
      <c r="M15" s="83"/>
      <c r="N15" s="82"/>
      <c r="O15" s="355" t="s">
        <v>143</v>
      </c>
      <c r="P15" s="356">
        <v>73613</v>
      </c>
      <c r="Q15" s="356">
        <v>47231</v>
      </c>
      <c r="R15" s="357">
        <v>0.28999999999999998</v>
      </c>
      <c r="S15" s="356">
        <v>13696.99</v>
      </c>
      <c r="T15" s="356">
        <v>87309.99</v>
      </c>
      <c r="U15" s="358">
        <v>0.72250165502631492</v>
      </c>
      <c r="V15" s="359"/>
      <c r="W15" s="347" t="s">
        <v>79</v>
      </c>
      <c r="X15" s="353">
        <v>49738</v>
      </c>
      <c r="Y15" s="353">
        <v>27441</v>
      </c>
      <c r="Z15" s="353">
        <v>7271.9898947804504</v>
      </c>
      <c r="AA15" s="353">
        <v>57009.989894780396</v>
      </c>
      <c r="AB15" s="353">
        <v>0.26500455139318724</v>
      </c>
      <c r="AC15" s="353">
        <v>958566</v>
      </c>
      <c r="AD15" s="347"/>
    </row>
    <row r="16" spans="1:30" ht="16">
      <c r="A16" s="253" t="s">
        <v>82</v>
      </c>
      <c r="B16" s="254">
        <v>6844079351.6082239</v>
      </c>
      <c r="C16" s="254">
        <v>0</v>
      </c>
      <c r="D16" s="254">
        <f t="shared" si="0"/>
        <v>6844079351.6082239</v>
      </c>
      <c r="E16" s="126">
        <f t="shared" si="1"/>
        <v>0.95308140910883876</v>
      </c>
      <c r="F16" s="255">
        <f t="shared" si="2"/>
        <v>6522964792.4834738</v>
      </c>
      <c r="G16" s="254">
        <f>AVERAGE(_xlfn.XLOOKUP(A16,'Global sales'!$A$3:$A$23,'Global sales'!$H$3:$H$23),_xlfn.XLOOKUP(A16,$W$3:$W$23,$AC$3:$AC$23))</f>
        <v>1529990.5</v>
      </c>
      <c r="H16" s="254">
        <f t="shared" si="3"/>
        <v>426.34021534666221</v>
      </c>
      <c r="I16" s="254">
        <f t="shared" si="4"/>
        <v>0</v>
      </c>
      <c r="J16" s="254">
        <f t="shared" si="6"/>
        <v>0</v>
      </c>
      <c r="K16" s="126">
        <f t="shared" si="5"/>
        <v>0</v>
      </c>
      <c r="L16" s="254">
        <f>(H16-'GAR 2022 score'!$K$25)/(MAX($H$3:$H$23)-'GAR 2022 score'!$K$25)*100</f>
        <v>11.091915213345665</v>
      </c>
      <c r="M16" s="83"/>
      <c r="N16" s="82"/>
      <c r="O16" s="355" t="s">
        <v>91</v>
      </c>
      <c r="P16" s="356">
        <v>111174</v>
      </c>
      <c r="Q16" s="356">
        <v>0</v>
      </c>
      <c r="R16" s="357">
        <v>0</v>
      </c>
      <c r="S16" s="356">
        <v>0</v>
      </c>
      <c r="T16" s="356">
        <v>111174</v>
      </c>
      <c r="U16" s="358">
        <v>1</v>
      </c>
      <c r="V16" s="359"/>
      <c r="W16" s="347" t="s">
        <v>91</v>
      </c>
      <c r="X16" s="353">
        <v>87308</v>
      </c>
      <c r="Y16" s="353">
        <v>0</v>
      </c>
      <c r="Z16" s="353">
        <v>0</v>
      </c>
      <c r="AA16" s="353">
        <v>87307.999999999854</v>
      </c>
      <c r="AB16" s="353">
        <v>1</v>
      </c>
      <c r="AC16" s="353">
        <v>2292869</v>
      </c>
      <c r="AD16" s="347"/>
    </row>
    <row r="17" spans="1:30" ht="16">
      <c r="A17" s="253" t="s">
        <v>510</v>
      </c>
      <c r="B17" s="254">
        <v>13672228805.625542</v>
      </c>
      <c r="C17" s="254">
        <v>3921297788.6738176</v>
      </c>
      <c r="D17" s="254">
        <f t="shared" si="0"/>
        <v>17593526594.299358</v>
      </c>
      <c r="E17" s="126">
        <f t="shared" si="1"/>
        <v>0.71951882058453687</v>
      </c>
      <c r="F17" s="255">
        <f t="shared" si="2"/>
        <v>12658873505.052958</v>
      </c>
      <c r="G17" s="254">
        <f>AVERAGE(_xlfn.XLOOKUP(A17,'Global sales'!$A$3:$A$23,'Global sales'!$H$3:$H$23),_xlfn.XLOOKUP(A17,$W$3:$W$23,$AC$3:$AC$23))</f>
        <v>3065611</v>
      </c>
      <c r="H17" s="254">
        <f t="shared" si="3"/>
        <v>412.93150060633775</v>
      </c>
      <c r="I17" s="254">
        <f t="shared" si="4"/>
        <v>126590215.16495395</v>
      </c>
      <c r="J17" s="254">
        <f t="shared" si="6"/>
        <v>4.1293632872844581</v>
      </c>
      <c r="K17" s="126">
        <f t="shared" si="5"/>
        <v>1.0000116923075642E-2</v>
      </c>
      <c r="L17" s="254">
        <f>(H17-'GAR 2022 score'!$K$25)/(MAX($H$3:$H$23)-'GAR 2022 score'!$K$25)*100</f>
        <v>10.732152091423753</v>
      </c>
      <c r="M17" s="83"/>
      <c r="N17" s="82"/>
      <c r="O17" s="355" t="s">
        <v>80</v>
      </c>
      <c r="P17" s="356">
        <v>104797</v>
      </c>
      <c r="Q17" s="356">
        <v>65389</v>
      </c>
      <c r="R17" s="357">
        <v>0.27</v>
      </c>
      <c r="S17" s="356">
        <v>17655.030000000002</v>
      </c>
      <c r="T17" s="356">
        <v>122452.03</v>
      </c>
      <c r="U17" s="358">
        <v>0.71951882058453687</v>
      </c>
      <c r="V17" s="359"/>
      <c r="W17" s="347" t="s">
        <v>80</v>
      </c>
      <c r="X17" s="353">
        <v>94457</v>
      </c>
      <c r="Y17" s="353">
        <v>73066</v>
      </c>
      <c r="Z17" s="353">
        <v>19104.195016539899</v>
      </c>
      <c r="AA17" s="353">
        <v>113561.1950165399</v>
      </c>
      <c r="AB17" s="353">
        <v>0.26146490866531491</v>
      </c>
      <c r="AC17" s="353">
        <v>3025733</v>
      </c>
      <c r="AD17" s="347"/>
    </row>
    <row r="18" spans="1:30" ht="16">
      <c r="A18" s="253" t="s">
        <v>70</v>
      </c>
      <c r="B18" s="254">
        <v>11711611606.187128</v>
      </c>
      <c r="C18" s="254">
        <v>548846589.71532774</v>
      </c>
      <c r="D18" s="254">
        <f t="shared" si="0"/>
        <v>12260458195.902456</v>
      </c>
      <c r="E18" s="126">
        <f t="shared" si="1"/>
        <v>0.96621370067014145</v>
      </c>
      <c r="F18" s="255">
        <f t="shared" si="2"/>
        <v>11846222685.374479</v>
      </c>
      <c r="G18" s="254">
        <f>AVERAGE(_xlfn.XLOOKUP(A18,'Global sales'!$A$3:$A$23,'Global sales'!$H$3:$H$23),_xlfn.XLOOKUP(A18,$W$3:$W$23,$AC$3:$AC$23))</f>
        <v>3216428</v>
      </c>
      <c r="H18" s="254">
        <f t="shared" si="3"/>
        <v>368.30367990125939</v>
      </c>
      <c r="I18" s="254">
        <f t="shared" si="4"/>
        <v>864934129.45651329</v>
      </c>
      <c r="J18" s="254">
        <f t="shared" si="6"/>
        <v>26.891139159854141</v>
      </c>
      <c r="K18" s="126">
        <f t="shared" si="5"/>
        <v>7.301349573010929E-2</v>
      </c>
      <c r="L18" s="254">
        <f>(H18-'GAR 2022 score'!$K$25)/(MAX($H$3:$H$23)-'GAR 2022 score'!$K$25)*100</f>
        <v>9.5347633474342679</v>
      </c>
      <c r="M18" s="83"/>
      <c r="N18" s="82"/>
      <c r="O18" s="355" t="s">
        <v>70</v>
      </c>
      <c r="P18" s="356">
        <v>137619</v>
      </c>
      <c r="Q18" s="356">
        <v>7425</v>
      </c>
      <c r="R18" s="357">
        <v>0.34</v>
      </c>
      <c r="S18" s="356">
        <v>2524.5</v>
      </c>
      <c r="T18" s="356">
        <v>140143.5</v>
      </c>
      <c r="U18" s="358">
        <v>0.96621370067014145</v>
      </c>
      <c r="V18" s="359"/>
      <c r="W18" s="347" t="s">
        <v>70</v>
      </c>
      <c r="X18" s="353">
        <v>68231</v>
      </c>
      <c r="Y18" s="353">
        <v>8715</v>
      </c>
      <c r="Z18" s="353">
        <v>2346.0887482348398</v>
      </c>
      <c r="AA18" s="353">
        <v>70577.088748234688</v>
      </c>
      <c r="AB18" s="353">
        <v>0.26920123330290763</v>
      </c>
      <c r="AC18" s="353">
        <v>2939512</v>
      </c>
      <c r="AD18" s="347"/>
    </row>
    <row r="19" spans="1:30" ht="16">
      <c r="A19" s="253" t="s">
        <v>91</v>
      </c>
      <c r="B19" s="254">
        <v>8501034972.2968588</v>
      </c>
      <c r="C19" s="254">
        <v>0</v>
      </c>
      <c r="D19" s="254">
        <f t="shared" si="0"/>
        <v>8501034972.2968588</v>
      </c>
      <c r="E19" s="126">
        <f t="shared" si="1"/>
        <v>1</v>
      </c>
      <c r="F19" s="255">
        <f t="shared" si="2"/>
        <v>8501034972.2968588</v>
      </c>
      <c r="G19" s="254">
        <f>AVERAGE(_xlfn.XLOOKUP(A19,'Global sales'!$A$3:$A$23,'Global sales'!$H$3:$H$23),_xlfn.XLOOKUP(A19,$W$3:$W$23,$AC$3:$AC$23))</f>
        <v>2352817.5</v>
      </c>
      <c r="H19" s="254">
        <f t="shared" si="3"/>
        <v>361.312977836014</v>
      </c>
      <c r="I19" s="254">
        <f t="shared" si="4"/>
        <v>0</v>
      </c>
      <c r="J19" s="254">
        <f t="shared" si="6"/>
        <v>0</v>
      </c>
      <c r="K19" s="126">
        <f t="shared" si="5"/>
        <v>0</v>
      </c>
      <c r="L19" s="254">
        <f>(H19-'GAR 2022 score'!$K$25)/(MAX($H$3:$H$23)-'GAR 2022 score'!$K$25)*100</f>
        <v>9.3471990022957119</v>
      </c>
      <c r="M19" s="83"/>
      <c r="N19" s="82"/>
      <c r="O19" s="355" t="s">
        <v>97</v>
      </c>
      <c r="P19" s="356">
        <v>8224</v>
      </c>
      <c r="Q19" s="356">
        <v>32402</v>
      </c>
      <c r="R19" s="357">
        <v>0.28999999999999998</v>
      </c>
      <c r="S19" s="356">
        <v>9396.58</v>
      </c>
      <c r="T19" s="356">
        <v>17620.580000000002</v>
      </c>
      <c r="U19" s="358">
        <v>0.43372667749716937</v>
      </c>
      <c r="V19" s="359"/>
      <c r="W19" s="347" t="s">
        <v>97</v>
      </c>
      <c r="X19" s="353">
        <v>6472.9999999999991</v>
      </c>
      <c r="Y19" s="353">
        <v>12448</v>
      </c>
      <c r="Z19" s="353">
        <v>3376.8785460763702</v>
      </c>
      <c r="AA19" s="353">
        <v>9849.878546076332</v>
      </c>
      <c r="AB19" s="353">
        <v>0.27127880350870581</v>
      </c>
      <c r="AC19" s="353">
        <v>668438</v>
      </c>
      <c r="AD19" s="347"/>
    </row>
    <row r="20" spans="1:30" ht="16">
      <c r="A20" s="253" t="s">
        <v>77</v>
      </c>
      <c r="B20" s="254">
        <v>38704551237.492889</v>
      </c>
      <c r="C20" s="254">
        <v>125899801.00168738</v>
      </c>
      <c r="D20" s="254">
        <f t="shared" si="0"/>
        <v>38830451038.494576</v>
      </c>
      <c r="E20" s="126">
        <f t="shared" si="1"/>
        <v>0.6696254183994319</v>
      </c>
      <c r="F20" s="255">
        <f t="shared" si="2"/>
        <v>26001857023.290585</v>
      </c>
      <c r="G20" s="254">
        <f>AVERAGE(_xlfn.XLOOKUP(A20,'Global sales'!$A$3:$A$23,'Global sales'!$H$3:$H$23),_xlfn.XLOOKUP(A20,$W$3:$W$23,$AC$3:$AC$23))</f>
        <v>7238099.5</v>
      </c>
      <c r="H20" s="254">
        <f t="shared" si="3"/>
        <v>359.23597103480802</v>
      </c>
      <c r="I20" s="254">
        <f t="shared" si="4"/>
        <v>0</v>
      </c>
      <c r="J20" s="254">
        <f t="shared" si="6"/>
        <v>0</v>
      </c>
      <c r="K20" s="126">
        <f t="shared" si="5"/>
        <v>0</v>
      </c>
      <c r="L20" s="254">
        <f>(H20-'GAR 2022 score'!$K$25)/(MAX($H$3:$H$23)-'GAR 2022 score'!$K$25)*100</f>
        <v>9.2914717782085496</v>
      </c>
      <c r="M20" s="83"/>
      <c r="N20" s="82"/>
      <c r="O20" s="355" t="s">
        <v>77</v>
      </c>
      <c r="P20" s="356">
        <v>93778</v>
      </c>
      <c r="Q20" s="356">
        <v>103402</v>
      </c>
      <c r="R20" s="357">
        <v>0.37</v>
      </c>
      <c r="S20" s="356">
        <v>38258.74</v>
      </c>
      <c r="T20" s="356">
        <v>132036.74</v>
      </c>
      <c r="U20" s="358">
        <v>0.6696254183994319</v>
      </c>
      <c r="V20" s="359"/>
      <c r="W20" s="347" t="s">
        <v>77</v>
      </c>
      <c r="X20" s="353">
        <v>24300</v>
      </c>
      <c r="Y20" s="353">
        <v>79240</v>
      </c>
      <c r="Z20" s="353">
        <v>25767.752935527598</v>
      </c>
      <c r="AA20" s="353">
        <v>50067.752935527598</v>
      </c>
      <c r="AB20" s="353">
        <v>0.3251861804079707</v>
      </c>
      <c r="AC20" s="353">
        <v>6865625</v>
      </c>
      <c r="AD20" s="347"/>
    </row>
    <row r="21" spans="1:30" ht="16">
      <c r="A21" s="253" t="s">
        <v>74</v>
      </c>
      <c r="B21" s="254">
        <v>16959891121.521664</v>
      </c>
      <c r="C21" s="254">
        <v>174710197.44517314</v>
      </c>
      <c r="D21" s="254">
        <f t="shared" si="0"/>
        <v>17134601318.966837</v>
      </c>
      <c r="E21" s="126">
        <f t="shared" si="1"/>
        <v>0.66207427876719049</v>
      </c>
      <c r="F21" s="255">
        <f t="shared" si="2"/>
        <v>11344378810.218319</v>
      </c>
      <c r="G21" s="254">
        <f>AVERAGE(_xlfn.XLOOKUP(A21,'Global sales'!$A$3:$A$23,'Global sales'!$H$3:$H$23),_xlfn.XLOOKUP(A21,$W$3:$W$23,$AC$3:$AC$23))</f>
        <v>4304432.5</v>
      </c>
      <c r="H21" s="254">
        <f t="shared" si="3"/>
        <v>263.55109088639023</v>
      </c>
      <c r="I21" s="254">
        <f t="shared" si="4"/>
        <v>126195712.2940836</v>
      </c>
      <c r="J21" s="254">
        <f t="shared" si="6"/>
        <v>2.9317619057583917</v>
      </c>
      <c r="K21" s="126">
        <f t="shared" si="5"/>
        <v>1.1124074257853082E-2</v>
      </c>
      <c r="L21" s="254">
        <f>(H21-'GAR 2022 score'!$K$25)/(MAX($H$3:$H$23)-'GAR 2022 score'!$K$25)*100</f>
        <v>6.7241943120547782</v>
      </c>
      <c r="M21" s="83"/>
      <c r="N21" s="82"/>
      <c r="O21" s="355" t="s">
        <v>89</v>
      </c>
      <c r="P21" s="356">
        <v>12001</v>
      </c>
      <c r="Q21" s="356">
        <v>21439</v>
      </c>
      <c r="R21" s="357">
        <v>0.46</v>
      </c>
      <c r="S21" s="356">
        <v>9861.94</v>
      </c>
      <c r="T21" s="356">
        <v>21862.940000000002</v>
      </c>
      <c r="U21" s="358">
        <v>0.65379605263157903</v>
      </c>
      <c r="V21" s="359"/>
      <c r="W21" s="347" t="s">
        <v>89</v>
      </c>
      <c r="X21" s="353">
        <v>10173</v>
      </c>
      <c r="Y21" s="353">
        <v>12543</v>
      </c>
      <c r="Z21" s="353">
        <v>4314.2662070122897</v>
      </c>
      <c r="AA21" s="353">
        <v>14487.266207012282</v>
      </c>
      <c r="AB21" s="353">
        <v>0.34395808076315793</v>
      </c>
      <c r="AC21" s="353">
        <v>3048523</v>
      </c>
      <c r="AD21" s="347"/>
    </row>
    <row r="22" spans="1:30" ht="16">
      <c r="A22" s="253" t="s">
        <v>99</v>
      </c>
      <c r="B22" s="254">
        <v>13173968823.679079</v>
      </c>
      <c r="C22" s="254">
        <v>0</v>
      </c>
      <c r="D22" s="254">
        <f t="shared" si="0"/>
        <v>13173968823.679079</v>
      </c>
      <c r="E22" s="126">
        <f t="shared" si="1"/>
        <v>0.30145228215767633</v>
      </c>
      <c r="F22" s="255">
        <f t="shared" si="2"/>
        <v>3971322966.972137</v>
      </c>
      <c r="G22" s="254">
        <f>AVERAGE(_xlfn.XLOOKUP(A22,'Global sales'!$A$3:$A$23,'Global sales'!$H$3:$H$23),_xlfn.XLOOKUP(A22,$W$3:$W$23,$AC$3:$AC$23))</f>
        <v>2481829</v>
      </c>
      <c r="H22" s="254">
        <f t="shared" si="3"/>
        <v>160.01597881933594</v>
      </c>
      <c r="I22" s="254">
        <f t="shared" si="4"/>
        <v>0</v>
      </c>
      <c r="J22" s="254">
        <f t="shared" si="6"/>
        <v>0</v>
      </c>
      <c r="K22" s="126">
        <f t="shared" si="5"/>
        <v>0</v>
      </c>
      <c r="L22" s="254">
        <f>(H22-'GAR 2022 score'!$K$25)/(MAX($H$3:$H$23)-'GAR 2022 score'!$K$25)*100</f>
        <v>3.9462908465003084</v>
      </c>
      <c r="M22" s="83"/>
      <c r="N22" s="82"/>
      <c r="O22" s="355" t="s">
        <v>99</v>
      </c>
      <c r="P22" s="356">
        <v>6</v>
      </c>
      <c r="Q22" s="356">
        <v>2886</v>
      </c>
      <c r="R22" s="357">
        <v>0.3</v>
      </c>
      <c r="S22" s="356">
        <v>865.8</v>
      </c>
      <c r="T22" s="356">
        <v>871.8</v>
      </c>
      <c r="U22" s="358">
        <v>0.30145228215767633</v>
      </c>
      <c r="V22" s="359"/>
      <c r="W22" s="347" t="s">
        <v>99</v>
      </c>
      <c r="X22" s="353">
        <v>0</v>
      </c>
      <c r="Y22" s="353">
        <v>2567</v>
      </c>
      <c r="Z22" s="353">
        <v>792.42544714406915</v>
      </c>
      <c r="AA22" s="353">
        <v>792.42544714406938</v>
      </c>
      <c r="AB22" s="353">
        <v>0.30869709666695333</v>
      </c>
      <c r="AC22" s="353">
        <v>2369160</v>
      </c>
      <c r="AD22" s="347"/>
    </row>
    <row r="23" spans="1:30" ht="16">
      <c r="A23" s="253" t="s">
        <v>81</v>
      </c>
      <c r="B23" s="254">
        <v>1521154958.0630424</v>
      </c>
      <c r="C23" s="254">
        <v>0</v>
      </c>
      <c r="D23" s="254">
        <f t="shared" si="0"/>
        <v>1521154958.0630424</v>
      </c>
      <c r="E23" s="126">
        <f t="shared" si="1"/>
        <v>0.73713103142557035</v>
      </c>
      <c r="F23" s="255">
        <f t="shared" si="2"/>
        <v>1121290523.1951306</v>
      </c>
      <c r="G23" s="254">
        <f>AVERAGE(_xlfn.XLOOKUP(A23,'Global sales'!$A$3:$A$23,'Global sales'!$H$3:$H$23),_xlfn.XLOOKUP(A23,$W$3:$W$23,$AC$3:$AC$23))</f>
        <v>913423.5</v>
      </c>
      <c r="H23" s="254">
        <f t="shared" si="3"/>
        <v>122.75691650095827</v>
      </c>
      <c r="I23" s="254">
        <f t="shared" si="4"/>
        <v>0</v>
      </c>
      <c r="J23" s="254">
        <f t="shared" si="6"/>
        <v>0</v>
      </c>
      <c r="K23" s="126">
        <f t="shared" si="5"/>
        <v>0</v>
      </c>
      <c r="L23" s="254">
        <f>(H23-'GAR 2022 score'!$K$25)/(MAX($H$3:$H$23)-'GAR 2022 score'!$K$25)*100</f>
        <v>2.9466099047295748</v>
      </c>
      <c r="M23" s="83"/>
      <c r="N23" s="82"/>
      <c r="O23" s="347" t="s">
        <v>90</v>
      </c>
      <c r="P23" s="356">
        <v>130955</v>
      </c>
      <c r="Q23" s="356">
        <v>10170</v>
      </c>
      <c r="R23" s="357">
        <v>0.41</v>
      </c>
      <c r="S23" s="356">
        <v>4169.7</v>
      </c>
      <c r="T23" s="356">
        <v>135124.70000000001</v>
      </c>
      <c r="U23" s="358">
        <v>0.9574823737821081</v>
      </c>
      <c r="V23" s="347"/>
      <c r="W23" s="347" t="s">
        <v>90</v>
      </c>
      <c r="X23" s="353"/>
      <c r="Y23" s="353"/>
      <c r="Z23" s="353"/>
      <c r="AA23" s="353"/>
      <c r="AB23" s="353"/>
      <c r="AC23" s="353">
        <f>282387*2</f>
        <v>564774</v>
      </c>
      <c r="AD23" s="347"/>
    </row>
    <row r="24" spans="1:30" ht="16">
      <c r="A24" s="115" t="s">
        <v>511</v>
      </c>
      <c r="B24" s="256"/>
      <c r="C24" s="257"/>
      <c r="D24" s="258"/>
      <c r="E24" s="257"/>
      <c r="F24" s="258"/>
      <c r="G24" s="256"/>
      <c r="H24" s="256"/>
      <c r="I24" s="258"/>
      <c r="J24" s="259"/>
      <c r="K24" s="260"/>
      <c r="L24" s="261"/>
      <c r="M24" s="83"/>
      <c r="N24" s="82"/>
      <c r="O24" s="347"/>
      <c r="P24" s="347"/>
      <c r="Q24" s="347"/>
      <c r="R24" s="347"/>
      <c r="S24" s="347"/>
      <c r="T24" s="347"/>
      <c r="U24" s="361"/>
      <c r="V24" s="362"/>
      <c r="W24" s="362"/>
      <c r="X24" s="347"/>
      <c r="Y24" s="347"/>
      <c r="Z24" s="347"/>
      <c r="AA24" s="347"/>
      <c r="AB24" s="347"/>
      <c r="AC24" s="347"/>
      <c r="AD24" s="347"/>
    </row>
    <row r="25" spans="1:30" s="114" customFormat="1" ht="17" customHeight="1">
      <c r="A25" s="113"/>
      <c r="C25" s="241"/>
      <c r="D25" s="237"/>
      <c r="E25" s="241"/>
      <c r="F25" s="237"/>
      <c r="I25" s="237"/>
      <c r="K25" s="113"/>
      <c r="L25" s="244"/>
      <c r="M25" s="235"/>
      <c r="N25" s="236"/>
      <c r="O25" s="347" t="s">
        <v>512</v>
      </c>
      <c r="P25" s="347"/>
      <c r="Q25" s="347"/>
      <c r="R25" s="347"/>
      <c r="S25" s="347"/>
      <c r="T25" s="347" t="s">
        <v>513</v>
      </c>
      <c r="U25" s="347"/>
      <c r="V25" s="347"/>
      <c r="W25" s="347"/>
      <c r="X25" s="347"/>
      <c r="Y25" s="347"/>
      <c r="Z25" s="347"/>
      <c r="AA25" s="347"/>
      <c r="AB25" s="347"/>
      <c r="AC25" s="347"/>
      <c r="AD25" s="347"/>
    </row>
    <row r="26" spans="1:30" s="114" customFormat="1" ht="17" customHeight="1">
      <c r="A26" s="113"/>
      <c r="C26" s="241"/>
      <c r="D26" s="237"/>
      <c r="E26" s="241"/>
      <c r="F26" s="237"/>
      <c r="I26" s="237"/>
      <c r="K26" s="113"/>
      <c r="L26" s="244"/>
      <c r="O26" s="363" t="s">
        <v>31</v>
      </c>
      <c r="P26" s="363" t="s">
        <v>514</v>
      </c>
      <c r="Q26" s="363" t="s">
        <v>515</v>
      </c>
      <c r="R26" s="363" t="s">
        <v>516</v>
      </c>
      <c r="S26" s="364"/>
      <c r="T26" s="363" t="s">
        <v>31</v>
      </c>
      <c r="U26" s="363" t="s">
        <v>517</v>
      </c>
      <c r="V26" s="363" t="s">
        <v>518</v>
      </c>
      <c r="W26" s="363" t="s">
        <v>519</v>
      </c>
      <c r="X26" s="347"/>
      <c r="Y26" s="347"/>
      <c r="Z26" s="347"/>
      <c r="AA26" s="347"/>
      <c r="AB26" s="347"/>
      <c r="AC26" s="347"/>
      <c r="AD26" s="347"/>
    </row>
    <row r="27" spans="1:30" s="114" customFormat="1" ht="16" customHeight="1">
      <c r="A27" s="113"/>
      <c r="C27" s="241"/>
      <c r="D27" s="237"/>
      <c r="E27" s="241"/>
      <c r="F27" s="237"/>
      <c r="I27" s="237"/>
      <c r="K27" s="113"/>
      <c r="L27" s="244"/>
      <c r="O27" s="365" t="s">
        <v>78</v>
      </c>
      <c r="P27" s="366">
        <v>6200000000</v>
      </c>
      <c r="Q27" s="366">
        <v>5402676953.283927</v>
      </c>
      <c r="R27" s="367">
        <v>540267695.32839274</v>
      </c>
      <c r="S27" s="347"/>
      <c r="T27" s="365" t="s">
        <v>77</v>
      </c>
      <c r="U27" s="368">
        <v>0</v>
      </c>
      <c r="V27" s="368">
        <v>0</v>
      </c>
      <c r="W27" s="347">
        <v>0</v>
      </c>
      <c r="X27" s="347"/>
      <c r="Y27" s="347"/>
      <c r="Z27" s="347"/>
      <c r="AA27" s="347"/>
      <c r="AB27" s="347"/>
      <c r="AC27" s="347"/>
      <c r="AD27" s="347"/>
    </row>
    <row r="28" spans="1:30" s="114" customFormat="1" ht="16" customHeight="1">
      <c r="A28" s="113"/>
      <c r="C28" s="241"/>
      <c r="D28" s="237"/>
      <c r="E28" s="241"/>
      <c r="F28" s="237"/>
      <c r="I28" s="237"/>
      <c r="K28" s="113"/>
      <c r="L28" s="244"/>
      <c r="O28" s="365" t="s">
        <v>510</v>
      </c>
      <c r="P28" s="366">
        <v>4500000000</v>
      </c>
      <c r="Q28" s="366">
        <v>3921297788.6738176</v>
      </c>
      <c r="R28" s="367">
        <v>392129778.86738175</v>
      </c>
      <c r="S28" s="347"/>
      <c r="T28" s="365" t="s">
        <v>78</v>
      </c>
      <c r="U28" s="368">
        <v>1145377142.8571429</v>
      </c>
      <c r="V28" s="368">
        <v>1093273609.6524053</v>
      </c>
      <c r="W28" s="347">
        <v>109327360.96524052</v>
      </c>
      <c r="X28" s="347"/>
      <c r="Y28" s="347"/>
      <c r="Z28" s="347"/>
      <c r="AA28" s="347"/>
      <c r="AB28" s="347"/>
      <c r="AC28" s="347"/>
      <c r="AD28" s="347"/>
    </row>
    <row r="29" spans="1:30" s="114" customFormat="1" ht="16" customHeight="1">
      <c r="A29" s="113"/>
      <c r="C29" s="241"/>
      <c r="D29" s="237"/>
      <c r="E29" s="241"/>
      <c r="F29" s="237"/>
      <c r="I29" s="237"/>
      <c r="K29" s="113"/>
      <c r="L29" s="244"/>
      <c r="O29" s="365" t="s">
        <v>509</v>
      </c>
      <c r="P29" s="366">
        <v>1388888888.8888886</v>
      </c>
      <c r="Q29" s="366">
        <v>1210277095.2696967</v>
      </c>
      <c r="R29" s="367">
        <v>121027709.52696967</v>
      </c>
      <c r="S29" s="347"/>
      <c r="T29" s="365" t="s">
        <v>70</v>
      </c>
      <c r="U29" s="368">
        <v>892857142.85714293</v>
      </c>
      <c r="V29" s="368">
        <v>864934129.45651329</v>
      </c>
      <c r="W29" s="347">
        <v>86493412.945651323</v>
      </c>
      <c r="X29" s="347"/>
      <c r="Y29" s="347"/>
      <c r="Z29" s="347"/>
      <c r="AA29" s="347"/>
      <c r="AB29" s="347"/>
      <c r="AC29" s="347"/>
      <c r="AD29" s="347"/>
    </row>
    <row r="30" spans="1:30" s="114" customFormat="1" ht="16" customHeight="1">
      <c r="A30" s="113"/>
      <c r="C30" s="241"/>
      <c r="D30" s="237"/>
      <c r="E30" s="241"/>
      <c r="F30" s="237"/>
      <c r="I30" s="237"/>
      <c r="K30" s="113"/>
      <c r="L30" s="244"/>
      <c r="O30" s="365" t="s">
        <v>70</v>
      </c>
      <c r="P30" s="366">
        <v>650000000</v>
      </c>
      <c r="Q30" s="366">
        <v>548846589.71532774</v>
      </c>
      <c r="R30" s="367">
        <v>54884658.971532777</v>
      </c>
      <c r="S30" s="347"/>
      <c r="T30" s="365" t="s">
        <v>74</v>
      </c>
      <c r="U30" s="368">
        <v>142857142.85714287</v>
      </c>
      <c r="V30" s="368">
        <v>126195712.2940836</v>
      </c>
      <c r="W30" s="347">
        <v>12619571.229408359</v>
      </c>
      <c r="X30" s="347"/>
      <c r="Y30" s="347"/>
      <c r="Z30" s="347"/>
      <c r="AA30" s="347"/>
      <c r="AB30" s="347"/>
      <c r="AC30" s="347"/>
      <c r="AD30" s="347"/>
    </row>
    <row r="31" spans="1:30" s="114" customFormat="1" ht="16" customHeight="1">
      <c r="A31" s="113"/>
      <c r="C31" s="237"/>
      <c r="D31" s="237"/>
      <c r="E31" s="237"/>
      <c r="F31" s="237"/>
      <c r="G31" s="237"/>
      <c r="H31" s="237"/>
      <c r="I31" s="237"/>
      <c r="O31" s="365" t="s">
        <v>65</v>
      </c>
      <c r="P31" s="366">
        <v>300000000</v>
      </c>
      <c r="Q31" s="366">
        <v>269367016.09663349</v>
      </c>
      <c r="R31" s="367">
        <v>26936701.609663349</v>
      </c>
      <c r="S31" s="347"/>
      <c r="T31" s="365" t="s">
        <v>89</v>
      </c>
      <c r="U31" s="368">
        <v>142857142.85714287</v>
      </c>
      <c r="V31" s="368">
        <v>126195712.2940836</v>
      </c>
      <c r="W31" s="347">
        <v>12619571.229408359</v>
      </c>
      <c r="X31" s="347"/>
      <c r="Y31" s="347"/>
      <c r="Z31" s="347"/>
      <c r="AA31" s="347"/>
      <c r="AB31" s="347"/>
      <c r="AC31" s="347"/>
      <c r="AD31" s="347"/>
    </row>
    <row r="32" spans="1:30" s="114" customFormat="1" ht="16" customHeight="1">
      <c r="O32" s="365" t="s">
        <v>74</v>
      </c>
      <c r="P32" s="366">
        <v>205300000</v>
      </c>
      <c r="Q32" s="366">
        <v>174710197.44517314</v>
      </c>
      <c r="R32" s="367">
        <v>17471019.744517315</v>
      </c>
      <c r="S32" s="347"/>
      <c r="T32" s="365" t="s">
        <v>510</v>
      </c>
      <c r="U32" s="368">
        <v>128520000</v>
      </c>
      <c r="V32" s="368">
        <v>126590215.16495395</v>
      </c>
      <c r="W32" s="347">
        <v>12659021.516495395</v>
      </c>
      <c r="X32" s="347"/>
      <c r="Y32" s="347"/>
      <c r="Z32" s="347"/>
      <c r="AA32" s="347"/>
      <c r="AB32" s="347"/>
      <c r="AC32" s="347"/>
      <c r="AD32" s="347"/>
    </row>
    <row r="33" spans="1:30" s="114" customFormat="1" ht="16" customHeight="1">
      <c r="A33" s="245"/>
      <c r="H33" s="547"/>
      <c r="I33" s="547"/>
      <c r="J33" s="547"/>
      <c r="K33" s="246"/>
      <c r="L33" s="246"/>
      <c r="O33" s="365" t="s">
        <v>77</v>
      </c>
      <c r="P33" s="366">
        <v>140000000</v>
      </c>
      <c r="Q33" s="366">
        <v>125899801.00168738</v>
      </c>
      <c r="R33" s="367">
        <v>12589980.100168739</v>
      </c>
      <c r="S33" s="347"/>
      <c r="T33" s="365" t="s">
        <v>99</v>
      </c>
      <c r="U33" s="368">
        <v>0</v>
      </c>
      <c r="V33" s="368">
        <v>0</v>
      </c>
      <c r="W33" s="347">
        <v>0</v>
      </c>
      <c r="X33" s="347"/>
      <c r="Y33" s="347"/>
      <c r="Z33" s="347"/>
      <c r="AA33" s="347"/>
      <c r="AB33" s="347"/>
      <c r="AC33" s="347"/>
      <c r="AD33" s="347"/>
    </row>
    <row r="34" spans="1:30" s="114" customFormat="1" ht="16" customHeight="1">
      <c r="A34" s="238"/>
      <c r="B34" s="239"/>
      <c r="C34" s="240"/>
      <c r="D34" s="239"/>
      <c r="F34" s="247"/>
      <c r="G34" s="247"/>
      <c r="H34" s="247"/>
      <c r="I34" s="247"/>
      <c r="J34" s="247"/>
      <c r="K34" s="247"/>
      <c r="L34" s="247"/>
      <c r="O34" s="365" t="s">
        <v>64</v>
      </c>
      <c r="P34" s="366">
        <v>61000000</v>
      </c>
      <c r="Q34" s="366">
        <v>54856341.865020931</v>
      </c>
      <c r="R34" s="367">
        <v>5485634.1865020934</v>
      </c>
      <c r="S34" s="347"/>
      <c r="T34" s="365" t="s">
        <v>91</v>
      </c>
      <c r="U34" s="368">
        <v>0</v>
      </c>
      <c r="V34" s="368">
        <v>0</v>
      </c>
      <c r="W34" s="347">
        <v>0</v>
      </c>
      <c r="X34" s="347"/>
      <c r="Y34" s="347"/>
      <c r="Z34" s="347"/>
      <c r="AA34" s="347"/>
      <c r="AB34" s="347"/>
      <c r="AC34" s="347"/>
      <c r="AD34" s="347"/>
    </row>
    <row r="35" spans="1:30" s="114" customFormat="1" ht="16" customHeight="1">
      <c r="A35" s="113"/>
      <c r="B35" s="113"/>
      <c r="C35" s="241"/>
      <c r="D35" s="241"/>
      <c r="F35" s="248"/>
      <c r="G35" s="249"/>
      <c r="H35" s="243"/>
      <c r="I35" s="243"/>
      <c r="J35" s="243"/>
      <c r="K35" s="243"/>
      <c r="L35" s="243"/>
      <c r="O35" s="365" t="s">
        <v>89</v>
      </c>
      <c r="P35" s="366">
        <v>0</v>
      </c>
      <c r="Q35" s="366">
        <v>0</v>
      </c>
      <c r="R35" s="367">
        <v>0</v>
      </c>
      <c r="S35" s="366"/>
      <c r="T35" s="365" t="s">
        <v>65</v>
      </c>
      <c r="U35" s="368">
        <v>271377142.85714287</v>
      </c>
      <c r="V35" s="368">
        <v>252785927.45903754</v>
      </c>
      <c r="W35" s="347">
        <v>25278592.745903753</v>
      </c>
      <c r="X35" s="347"/>
      <c r="Y35" s="347"/>
      <c r="Z35" s="347"/>
      <c r="AA35" s="347"/>
      <c r="AB35" s="347"/>
      <c r="AC35" s="347"/>
      <c r="AD35" s="347"/>
    </row>
    <row r="36" spans="1:30" s="114" customFormat="1" ht="16" customHeight="1">
      <c r="A36" s="113"/>
      <c r="B36" s="113"/>
      <c r="C36" s="241"/>
      <c r="D36" s="241"/>
      <c r="F36" s="248"/>
      <c r="G36" s="249"/>
      <c r="H36" s="243"/>
      <c r="I36" s="243"/>
      <c r="J36" s="243"/>
      <c r="K36" s="243"/>
      <c r="L36" s="243"/>
      <c r="O36" s="365" t="s">
        <v>99</v>
      </c>
      <c r="P36" s="366">
        <v>0</v>
      </c>
      <c r="Q36" s="366">
        <v>0</v>
      </c>
      <c r="R36" s="367">
        <v>0</v>
      </c>
      <c r="S36" s="366"/>
      <c r="T36" s="365" t="s">
        <v>509</v>
      </c>
      <c r="U36" s="368">
        <v>795257142.85714293</v>
      </c>
      <c r="V36" s="368">
        <v>721327880.30834508</v>
      </c>
      <c r="W36" s="347">
        <v>72132788.030834511</v>
      </c>
      <c r="X36" s="347"/>
      <c r="Y36" s="347"/>
      <c r="Z36" s="347"/>
      <c r="AA36" s="347"/>
      <c r="AB36" s="347"/>
      <c r="AC36" s="347"/>
      <c r="AD36" s="347"/>
    </row>
    <row r="37" spans="1:30" s="114" customFormat="1" ht="16" customHeight="1">
      <c r="A37" s="113"/>
      <c r="B37" s="113"/>
      <c r="C37" s="241"/>
      <c r="D37" s="241"/>
      <c r="F37" s="248"/>
      <c r="G37" s="249"/>
      <c r="H37" s="243"/>
      <c r="I37" s="243"/>
      <c r="J37" s="243"/>
      <c r="K37" s="243"/>
      <c r="L37" s="243"/>
      <c r="O37" s="365" t="s">
        <v>91</v>
      </c>
      <c r="P37" s="366">
        <v>0</v>
      </c>
      <c r="Q37" s="366">
        <v>0</v>
      </c>
      <c r="R37" s="367">
        <v>0</v>
      </c>
      <c r="S37" s="366"/>
      <c r="T37" s="365" t="s">
        <v>76</v>
      </c>
      <c r="U37" s="368">
        <v>0</v>
      </c>
      <c r="V37" s="368">
        <v>0</v>
      </c>
      <c r="W37" s="347">
        <v>0</v>
      </c>
      <c r="X37" s="347"/>
      <c r="Y37" s="347"/>
      <c r="Z37" s="347"/>
      <c r="AA37" s="347"/>
      <c r="AB37" s="347"/>
      <c r="AC37" s="347"/>
      <c r="AD37" s="347"/>
    </row>
    <row r="38" spans="1:30" s="114" customFormat="1" ht="16" customHeight="1">
      <c r="A38" s="113"/>
      <c r="B38" s="113"/>
      <c r="C38" s="241"/>
      <c r="D38" s="241"/>
      <c r="F38" s="248"/>
      <c r="G38" s="249"/>
      <c r="H38" s="243"/>
      <c r="I38" s="243"/>
      <c r="J38" s="243"/>
      <c r="K38" s="243"/>
      <c r="L38" s="243"/>
      <c r="O38" s="365" t="s">
        <v>76</v>
      </c>
      <c r="P38" s="366">
        <v>0</v>
      </c>
      <c r="Q38" s="366">
        <v>0</v>
      </c>
      <c r="R38" s="367">
        <v>0</v>
      </c>
      <c r="S38" s="366"/>
      <c r="T38" s="365" t="s">
        <v>64</v>
      </c>
      <c r="U38" s="368">
        <v>0</v>
      </c>
      <c r="V38" s="368">
        <v>0</v>
      </c>
      <c r="W38" s="347">
        <v>0</v>
      </c>
      <c r="X38" s="347"/>
      <c r="Y38" s="347"/>
      <c r="Z38" s="347"/>
      <c r="AA38" s="347"/>
      <c r="AB38" s="347"/>
      <c r="AC38" s="347"/>
      <c r="AD38" s="347"/>
    </row>
    <row r="39" spans="1:30" s="114" customFormat="1" ht="16" customHeight="1">
      <c r="A39" s="113"/>
      <c r="B39" s="113"/>
      <c r="C39" s="241"/>
      <c r="D39" s="241"/>
      <c r="F39" s="248"/>
      <c r="G39" s="249"/>
      <c r="H39" s="243"/>
      <c r="I39" s="243"/>
      <c r="J39" s="243"/>
      <c r="K39" s="243"/>
      <c r="L39" s="243"/>
      <c r="O39" s="365" t="s">
        <v>82</v>
      </c>
      <c r="P39" s="366">
        <v>0</v>
      </c>
      <c r="Q39" s="366">
        <v>0</v>
      </c>
      <c r="R39" s="367">
        <v>0</v>
      </c>
      <c r="S39" s="366"/>
      <c r="T39" s="365" t="s">
        <v>82</v>
      </c>
      <c r="U39" s="368">
        <v>0</v>
      </c>
      <c r="V39" s="368">
        <v>0</v>
      </c>
      <c r="W39" s="347">
        <v>0</v>
      </c>
      <c r="X39" s="347"/>
      <c r="Y39" s="347"/>
      <c r="Z39" s="347"/>
      <c r="AA39" s="347"/>
      <c r="AB39" s="347"/>
      <c r="AC39" s="347"/>
      <c r="AD39" s="347"/>
    </row>
    <row r="40" spans="1:30" s="114" customFormat="1" ht="16" customHeight="1">
      <c r="A40" s="113"/>
      <c r="B40" s="113"/>
      <c r="C40" s="241"/>
      <c r="D40" s="241"/>
      <c r="F40" s="248"/>
      <c r="G40" s="249"/>
      <c r="H40" s="243"/>
      <c r="I40" s="243"/>
      <c r="J40" s="243"/>
      <c r="K40" s="243"/>
      <c r="L40" s="243"/>
      <c r="O40" s="365" t="s">
        <v>61</v>
      </c>
      <c r="P40" s="366">
        <v>0</v>
      </c>
      <c r="Q40" s="366">
        <v>0</v>
      </c>
      <c r="R40" s="367">
        <v>0</v>
      </c>
      <c r="S40" s="366"/>
      <c r="T40" s="365" t="s">
        <v>61</v>
      </c>
      <c r="U40" s="368">
        <v>5904000000</v>
      </c>
      <c r="V40" s="368">
        <v>5763794844.2790699</v>
      </c>
      <c r="W40" s="347">
        <v>576379484.42790699</v>
      </c>
      <c r="X40" s="347"/>
      <c r="Y40" s="347"/>
      <c r="Z40" s="347"/>
      <c r="AA40" s="347"/>
      <c r="AB40" s="347"/>
      <c r="AC40" s="347"/>
      <c r="AD40" s="347"/>
    </row>
    <row r="41" spans="1:30" s="114" customFormat="1" ht="16" customHeight="1">
      <c r="A41" s="113"/>
      <c r="B41" s="113"/>
      <c r="C41" s="241"/>
      <c r="D41" s="241"/>
      <c r="F41" s="248"/>
      <c r="G41" s="249"/>
      <c r="H41" s="243"/>
      <c r="I41" s="243"/>
      <c r="J41" s="243"/>
      <c r="K41" s="243"/>
      <c r="L41" s="243"/>
      <c r="O41" s="365" t="s">
        <v>68</v>
      </c>
      <c r="P41" s="366">
        <v>0</v>
      </c>
      <c r="Q41" s="366">
        <v>0</v>
      </c>
      <c r="R41" s="367">
        <v>0</v>
      </c>
      <c r="S41" s="366"/>
      <c r="T41" s="365" t="s">
        <v>68</v>
      </c>
      <c r="U41" s="368">
        <v>0</v>
      </c>
      <c r="V41" s="368">
        <v>0</v>
      </c>
      <c r="W41" s="347">
        <v>0</v>
      </c>
      <c r="X41" s="347"/>
      <c r="Y41" s="347"/>
      <c r="Z41" s="347"/>
      <c r="AA41" s="347"/>
      <c r="AB41" s="347"/>
      <c r="AC41" s="347"/>
      <c r="AD41" s="347"/>
    </row>
    <row r="42" spans="1:30" s="114" customFormat="1" ht="16" customHeight="1">
      <c r="A42" s="113"/>
      <c r="B42" s="113"/>
      <c r="C42" s="241"/>
      <c r="D42" s="241"/>
      <c r="F42" s="248"/>
      <c r="G42" s="249"/>
      <c r="H42" s="243"/>
      <c r="I42" s="243"/>
      <c r="J42" s="243"/>
      <c r="K42" s="243"/>
      <c r="L42" s="243"/>
      <c r="O42" s="365" t="s">
        <v>81</v>
      </c>
      <c r="P42" s="366">
        <v>0</v>
      </c>
      <c r="Q42" s="366">
        <v>0</v>
      </c>
      <c r="R42" s="367">
        <v>0</v>
      </c>
      <c r="S42" s="366"/>
      <c r="T42" s="365" t="s">
        <v>81</v>
      </c>
      <c r="U42" s="368">
        <v>0</v>
      </c>
      <c r="V42" s="368">
        <v>0</v>
      </c>
      <c r="W42" s="347">
        <v>0</v>
      </c>
      <c r="X42" s="347"/>
      <c r="Y42" s="347"/>
      <c r="Z42" s="347"/>
      <c r="AA42" s="347"/>
      <c r="AB42" s="347"/>
      <c r="AC42" s="347"/>
      <c r="AD42" s="347"/>
    </row>
    <row r="43" spans="1:30" s="114" customFormat="1" ht="16" customHeight="1">
      <c r="A43" s="113"/>
      <c r="B43" s="113"/>
      <c r="C43" s="241"/>
      <c r="D43" s="241"/>
      <c r="F43" s="248"/>
      <c r="G43" s="249"/>
      <c r="H43" s="243"/>
      <c r="I43" s="243"/>
      <c r="J43" s="243"/>
      <c r="K43" s="243"/>
      <c r="L43" s="243"/>
      <c r="O43" s="365" t="s">
        <v>92</v>
      </c>
      <c r="P43" s="366">
        <v>0</v>
      </c>
      <c r="Q43" s="366">
        <v>0</v>
      </c>
      <c r="R43" s="367">
        <v>0</v>
      </c>
      <c r="S43" s="366"/>
      <c r="T43" s="365" t="s">
        <v>92</v>
      </c>
      <c r="U43" s="368">
        <v>414234285.71428573</v>
      </c>
      <c r="V43" s="368">
        <v>378981639.75312114</v>
      </c>
      <c r="W43" s="347">
        <v>37898163.975312114</v>
      </c>
      <c r="X43" s="347"/>
      <c r="Y43" s="347"/>
      <c r="Z43" s="347"/>
      <c r="AA43" s="347"/>
      <c r="AB43" s="347"/>
      <c r="AC43" s="347"/>
      <c r="AD43" s="347"/>
    </row>
    <row r="44" spans="1:30" s="114" customFormat="1" ht="16" customHeight="1">
      <c r="A44" s="113"/>
      <c r="B44" s="113"/>
      <c r="C44" s="241"/>
      <c r="D44" s="241"/>
      <c r="F44" s="248"/>
      <c r="G44" s="249"/>
      <c r="H44" s="243"/>
      <c r="I44" s="243"/>
      <c r="J44" s="243"/>
      <c r="K44" s="243"/>
      <c r="L44" s="243"/>
      <c r="O44" s="365" t="s">
        <v>72</v>
      </c>
      <c r="P44" s="366">
        <v>0</v>
      </c>
      <c r="Q44" s="366">
        <v>0</v>
      </c>
      <c r="R44" s="367">
        <v>0</v>
      </c>
      <c r="S44" s="366"/>
      <c r="T44" s="365" t="s">
        <v>72</v>
      </c>
      <c r="U44" s="368">
        <v>0</v>
      </c>
      <c r="V44" s="368">
        <v>0</v>
      </c>
      <c r="W44" s="347">
        <v>0</v>
      </c>
      <c r="X44" s="347"/>
      <c r="Y44" s="347"/>
      <c r="Z44" s="347"/>
      <c r="AA44" s="347"/>
      <c r="AB44" s="347"/>
      <c r="AC44" s="347"/>
      <c r="AD44" s="347"/>
    </row>
    <row r="45" spans="1:30" s="114" customFormat="1" ht="16" customHeight="1">
      <c r="A45" s="113"/>
      <c r="B45" s="113"/>
      <c r="C45" s="241"/>
      <c r="D45" s="241"/>
      <c r="F45" s="248"/>
      <c r="G45" s="249"/>
      <c r="H45" s="243"/>
      <c r="I45" s="243"/>
      <c r="J45" s="243"/>
      <c r="K45" s="243"/>
      <c r="L45" s="243"/>
      <c r="O45" s="365" t="s">
        <v>79</v>
      </c>
      <c r="P45" s="366">
        <v>0</v>
      </c>
      <c r="Q45" s="366">
        <v>0</v>
      </c>
      <c r="R45" s="367">
        <v>0</v>
      </c>
      <c r="S45" s="366"/>
      <c r="T45" s="365" t="s">
        <v>79</v>
      </c>
      <c r="U45" s="368">
        <v>0</v>
      </c>
      <c r="V45" s="368">
        <v>0</v>
      </c>
      <c r="W45" s="347">
        <v>0</v>
      </c>
      <c r="X45" s="347"/>
      <c r="Y45" s="347"/>
      <c r="Z45" s="347"/>
      <c r="AA45" s="347"/>
      <c r="AB45" s="347"/>
      <c r="AC45" s="347"/>
      <c r="AD45" s="347"/>
    </row>
    <row r="46" spans="1:30" s="114" customFormat="1" ht="16" customHeight="1">
      <c r="A46" s="113"/>
      <c r="B46" s="113"/>
      <c r="C46" s="241"/>
      <c r="D46" s="241"/>
      <c r="F46" s="248"/>
      <c r="G46" s="249"/>
      <c r="H46" s="243"/>
      <c r="I46" s="243"/>
      <c r="J46" s="243"/>
      <c r="K46" s="243"/>
      <c r="L46" s="243"/>
      <c r="O46" s="365" t="s">
        <v>144</v>
      </c>
      <c r="P46" s="366">
        <v>0</v>
      </c>
      <c r="Q46" s="366">
        <v>0</v>
      </c>
      <c r="R46" s="367">
        <v>0</v>
      </c>
      <c r="S46" s="366"/>
      <c r="T46" s="365" t="s">
        <v>144</v>
      </c>
      <c r="U46" s="368">
        <v>0</v>
      </c>
      <c r="V46" s="368">
        <v>0</v>
      </c>
      <c r="W46" s="347">
        <v>0</v>
      </c>
      <c r="X46" s="347"/>
      <c r="Y46" s="347"/>
      <c r="Z46" s="347"/>
      <c r="AA46" s="347"/>
      <c r="AB46" s="347"/>
      <c r="AC46" s="347"/>
      <c r="AD46" s="347"/>
    </row>
    <row r="47" spans="1:30" s="114" customFormat="1" ht="16" customHeight="1">
      <c r="A47" s="113"/>
      <c r="B47" s="113"/>
      <c r="C47" s="241"/>
      <c r="D47" s="241"/>
      <c r="F47" s="248"/>
      <c r="G47" s="249"/>
      <c r="H47" s="250"/>
      <c r="I47" s="250"/>
      <c r="J47" s="250"/>
      <c r="K47" s="250"/>
      <c r="L47" s="250"/>
      <c r="O47" s="365" t="s">
        <v>146</v>
      </c>
      <c r="P47" s="366">
        <v>0</v>
      </c>
      <c r="Q47" s="366">
        <v>0</v>
      </c>
      <c r="R47" s="367">
        <v>0</v>
      </c>
      <c r="S47" s="366"/>
      <c r="T47" s="365" t="s">
        <v>146</v>
      </c>
      <c r="U47" s="368">
        <v>0</v>
      </c>
      <c r="V47" s="368">
        <v>0</v>
      </c>
      <c r="W47" s="347">
        <v>0</v>
      </c>
      <c r="X47" s="347"/>
      <c r="Y47" s="347"/>
      <c r="Z47" s="347"/>
      <c r="AA47" s="347"/>
      <c r="AB47" s="347"/>
      <c r="AC47" s="347"/>
      <c r="AD47" s="347"/>
    </row>
    <row r="48" spans="1:30" s="114" customFormat="1" ht="16" customHeight="1">
      <c r="A48" s="113"/>
      <c r="B48" s="113"/>
      <c r="C48" s="241"/>
      <c r="D48" s="241"/>
      <c r="F48" s="248"/>
      <c r="G48" s="249"/>
      <c r="H48" s="243"/>
      <c r="I48" s="243"/>
      <c r="J48" s="243"/>
      <c r="K48" s="243"/>
      <c r="L48" s="243"/>
      <c r="O48" s="365" t="s">
        <v>147</v>
      </c>
      <c r="P48" s="366">
        <v>0</v>
      </c>
      <c r="Q48" s="366">
        <v>0</v>
      </c>
      <c r="R48" s="367">
        <v>0</v>
      </c>
      <c r="S48" s="366"/>
      <c r="T48" s="365" t="s">
        <v>147</v>
      </c>
      <c r="U48" s="368">
        <v>0</v>
      </c>
      <c r="V48" s="368">
        <v>0</v>
      </c>
      <c r="W48" s="347">
        <v>0</v>
      </c>
      <c r="X48" s="347"/>
      <c r="Y48" s="347"/>
      <c r="Z48" s="347"/>
      <c r="AA48" s="347"/>
      <c r="AB48" s="347"/>
      <c r="AC48" s="347"/>
      <c r="AD48" s="347"/>
    </row>
    <row r="49" spans="1:30" s="114" customFormat="1" ht="16" customHeight="1">
      <c r="A49" s="113"/>
      <c r="B49" s="113"/>
      <c r="C49" s="241"/>
      <c r="D49" s="241"/>
      <c r="F49" s="248"/>
      <c r="G49" s="249"/>
      <c r="H49" s="243"/>
      <c r="I49" s="243"/>
      <c r="J49" s="243"/>
      <c r="K49" s="243"/>
      <c r="L49" s="243"/>
      <c r="M49" s="244"/>
      <c r="O49" s="365" t="s">
        <v>148</v>
      </c>
      <c r="P49" s="366">
        <v>0</v>
      </c>
      <c r="Q49" s="366">
        <v>0</v>
      </c>
      <c r="R49" s="367">
        <v>0</v>
      </c>
      <c r="S49" s="366"/>
      <c r="T49" s="365" t="s">
        <v>148</v>
      </c>
      <c r="U49" s="368">
        <v>0</v>
      </c>
      <c r="V49" s="368">
        <v>0</v>
      </c>
      <c r="W49" s="347">
        <v>0</v>
      </c>
      <c r="X49" s="347"/>
      <c r="Y49" s="347"/>
      <c r="Z49" s="347"/>
      <c r="AA49" s="347"/>
      <c r="AB49" s="347"/>
      <c r="AC49" s="347"/>
      <c r="AD49" s="347"/>
    </row>
    <row r="50" spans="1:30" s="114" customFormat="1" ht="16" customHeight="1">
      <c r="A50" s="113"/>
      <c r="B50" s="113"/>
      <c r="C50" s="241"/>
      <c r="D50" s="241"/>
      <c r="F50" s="248"/>
      <c r="G50" s="249"/>
      <c r="H50" s="243"/>
      <c r="I50" s="243"/>
      <c r="J50" s="243"/>
      <c r="K50" s="243"/>
      <c r="L50" s="243"/>
      <c r="M50" s="244"/>
      <c r="O50" s="365" t="s">
        <v>149</v>
      </c>
      <c r="P50" s="366">
        <v>0</v>
      </c>
      <c r="Q50" s="366">
        <v>0</v>
      </c>
      <c r="R50" s="367">
        <v>0</v>
      </c>
      <c r="S50" s="366"/>
      <c r="T50" s="365" t="s">
        <v>149</v>
      </c>
      <c r="U50" s="368">
        <v>0</v>
      </c>
      <c r="V50" s="368">
        <v>0</v>
      </c>
      <c r="W50" s="347">
        <v>0</v>
      </c>
      <c r="X50" s="347"/>
      <c r="Y50" s="347"/>
      <c r="Z50" s="347"/>
      <c r="AA50" s="347"/>
      <c r="AB50" s="347"/>
      <c r="AC50" s="347"/>
      <c r="AD50" s="347"/>
    </row>
    <row r="51" spans="1:30" s="114" customFormat="1" ht="16" customHeight="1">
      <c r="A51" s="113"/>
      <c r="B51" s="113"/>
      <c r="C51" s="241"/>
      <c r="D51" s="241"/>
      <c r="F51" s="248"/>
      <c r="G51" s="249"/>
      <c r="H51" s="243"/>
      <c r="I51" s="243"/>
      <c r="J51" s="243"/>
      <c r="K51" s="243"/>
      <c r="L51" s="243"/>
      <c r="M51" s="244"/>
      <c r="O51" s="365" t="s">
        <v>150</v>
      </c>
      <c r="P51" s="366">
        <v>0</v>
      </c>
      <c r="Q51" s="366">
        <v>0</v>
      </c>
      <c r="R51" s="367">
        <v>0</v>
      </c>
      <c r="S51" s="366"/>
      <c r="T51" s="365" t="s">
        <v>150</v>
      </c>
      <c r="U51" s="368">
        <v>33000000</v>
      </c>
      <c r="V51" s="368">
        <v>31976744.186046541</v>
      </c>
      <c r="W51" s="347">
        <v>3197674.4186046543</v>
      </c>
      <c r="X51" s="347"/>
      <c r="Y51" s="347"/>
      <c r="Z51" s="347"/>
      <c r="AA51" s="347"/>
      <c r="AB51" s="347"/>
      <c r="AC51" s="347"/>
      <c r="AD51" s="347"/>
    </row>
    <row r="52" spans="1:30" s="114" customFormat="1" ht="16" customHeight="1">
      <c r="A52" s="113"/>
      <c r="B52" s="113"/>
      <c r="C52" s="241"/>
      <c r="D52" s="241"/>
      <c r="F52" s="248"/>
      <c r="G52" s="249"/>
      <c r="H52" s="243"/>
      <c r="I52" s="243"/>
      <c r="J52" s="243"/>
      <c r="K52" s="243"/>
      <c r="L52" s="243"/>
      <c r="M52" s="244"/>
      <c r="O52" s="365" t="s">
        <v>98</v>
      </c>
      <c r="P52" s="366">
        <v>0</v>
      </c>
      <c r="Q52" s="366">
        <v>0</v>
      </c>
      <c r="R52" s="367">
        <v>0</v>
      </c>
      <c r="S52" s="366"/>
      <c r="T52" s="365" t="s">
        <v>98</v>
      </c>
      <c r="U52" s="368">
        <v>0</v>
      </c>
      <c r="V52" s="368">
        <v>0</v>
      </c>
      <c r="W52" s="347">
        <v>0</v>
      </c>
      <c r="X52" s="347"/>
      <c r="Y52" s="347"/>
      <c r="Z52" s="347"/>
      <c r="AA52" s="347"/>
      <c r="AB52" s="347"/>
      <c r="AC52" s="347"/>
      <c r="AD52" s="347"/>
    </row>
    <row r="53" spans="1:30" s="114" customFormat="1" ht="16" customHeight="1">
      <c r="A53" s="113"/>
      <c r="B53" s="113"/>
      <c r="C53" s="241"/>
      <c r="D53" s="241"/>
      <c r="F53" s="248"/>
      <c r="G53" s="249"/>
      <c r="H53" s="243"/>
      <c r="I53" s="243"/>
      <c r="J53" s="243"/>
      <c r="K53" s="243"/>
      <c r="L53" s="243"/>
      <c r="M53" s="244"/>
      <c r="O53" s="365" t="s">
        <v>90</v>
      </c>
      <c r="P53" s="366">
        <v>0</v>
      </c>
      <c r="Q53" s="366">
        <v>0</v>
      </c>
      <c r="R53" s="367">
        <v>0</v>
      </c>
      <c r="S53" s="366"/>
      <c r="T53" s="365" t="s">
        <v>90</v>
      </c>
      <c r="U53" s="368">
        <v>0</v>
      </c>
      <c r="V53" s="368">
        <v>0</v>
      </c>
      <c r="W53" s="347">
        <v>0</v>
      </c>
      <c r="X53" s="347"/>
      <c r="Y53" s="347"/>
      <c r="Z53" s="347"/>
      <c r="AA53" s="347"/>
      <c r="AB53" s="347"/>
      <c r="AC53" s="347"/>
      <c r="AD53" s="347"/>
    </row>
    <row r="54" spans="1:30" s="114" customFormat="1" ht="16" customHeight="1">
      <c r="A54" s="113"/>
      <c r="B54" s="113"/>
      <c r="C54" s="241"/>
      <c r="D54" s="241"/>
      <c r="F54" s="248"/>
      <c r="G54" s="249"/>
      <c r="H54" s="243"/>
      <c r="I54" s="243"/>
      <c r="J54" s="243"/>
      <c r="K54" s="243"/>
      <c r="L54" s="243"/>
      <c r="M54" s="244"/>
      <c r="O54" s="365" t="s">
        <v>520</v>
      </c>
      <c r="P54" s="347"/>
      <c r="Q54" s="347"/>
      <c r="R54" s="347"/>
      <c r="S54" s="347"/>
      <c r="T54" s="365" t="s">
        <v>520</v>
      </c>
      <c r="U54" s="347"/>
      <c r="V54" s="347"/>
      <c r="W54" s="347"/>
      <c r="X54" s="347"/>
      <c r="Y54" s="347"/>
      <c r="Z54" s="347"/>
      <c r="AA54" s="347"/>
      <c r="AB54" s="347"/>
      <c r="AC54" s="347"/>
      <c r="AD54" s="347"/>
    </row>
    <row r="55" spans="1:30" s="114" customFormat="1" ht="16" customHeight="1">
      <c r="A55" s="113"/>
      <c r="B55" s="113"/>
      <c r="C55" s="241"/>
      <c r="D55" s="241"/>
      <c r="F55" s="248"/>
      <c r="G55" s="249"/>
      <c r="H55" s="243"/>
      <c r="I55" s="243"/>
      <c r="J55" s="243"/>
      <c r="K55" s="243"/>
      <c r="L55" s="243"/>
      <c r="M55" s="244"/>
      <c r="R55" s="242"/>
      <c r="S55" s="251"/>
      <c r="T55" s="251"/>
      <c r="U55" s="242"/>
    </row>
    <row r="56" spans="1:30" s="114" customFormat="1" ht="16" customHeight="1">
      <c r="A56" s="43"/>
      <c r="B56" s="43"/>
      <c r="C56" s="234"/>
      <c r="D56" s="234"/>
      <c r="E56" s="18"/>
      <c r="F56" s="2"/>
      <c r="G56" s="5"/>
      <c r="H56" s="25"/>
      <c r="I56" s="25"/>
      <c r="J56" s="25"/>
      <c r="K56" s="25"/>
      <c r="L56" s="25"/>
      <c r="R56" s="242"/>
      <c r="S56" s="251"/>
      <c r="T56" s="251"/>
      <c r="U56" s="242"/>
    </row>
    <row r="57" spans="1:30" s="114" customFormat="1" ht="16" customHeight="1">
      <c r="A57" s="43"/>
      <c r="B57" s="43"/>
      <c r="C57" s="234"/>
      <c r="D57" s="234"/>
      <c r="E57" s="18"/>
      <c r="F57" s="18"/>
      <c r="G57" s="234"/>
      <c r="H57" s="25"/>
      <c r="I57" s="25"/>
      <c r="J57" s="25"/>
      <c r="K57" s="25"/>
      <c r="L57" s="25"/>
      <c r="R57" s="242"/>
      <c r="S57" s="251"/>
      <c r="T57" s="251"/>
      <c r="U57" s="242"/>
    </row>
    <row r="58" spans="1:30" s="114" customFormat="1" ht="16" customHeight="1">
      <c r="A58" s="43"/>
      <c r="B58" s="43"/>
      <c r="C58" s="234"/>
      <c r="D58" s="234"/>
      <c r="E58" s="18"/>
      <c r="F58" s="18"/>
      <c r="G58" s="20"/>
      <c r="H58" s="20"/>
      <c r="I58" s="20"/>
      <c r="J58" s="20"/>
      <c r="K58" s="20"/>
      <c r="L58" s="20"/>
      <c r="M58" s="246"/>
      <c r="N58" s="246"/>
      <c r="R58" s="242"/>
      <c r="S58" s="251"/>
      <c r="T58" s="251"/>
      <c r="U58" s="242"/>
    </row>
    <row r="59" spans="1:30" s="114" customFormat="1" ht="16" customHeight="1">
      <c r="A59" s="43"/>
      <c r="B59" s="43"/>
      <c r="C59" s="234"/>
      <c r="D59" s="234"/>
      <c r="E59" s="18"/>
      <c r="F59" s="18"/>
      <c r="G59" s="18"/>
      <c r="H59" s="18"/>
      <c r="I59" s="18"/>
      <c r="J59" s="18"/>
      <c r="K59" s="18"/>
      <c r="L59" s="18"/>
      <c r="R59" s="242"/>
      <c r="S59" s="251"/>
      <c r="T59" s="251"/>
      <c r="U59" s="242"/>
    </row>
    <row r="60" spans="1:30" s="114" customFormat="1" ht="16" customHeight="1">
      <c r="A60" s="43"/>
      <c r="B60" s="43"/>
      <c r="C60" s="234"/>
      <c r="D60" s="234"/>
      <c r="E60" s="18"/>
      <c r="F60" s="18"/>
      <c r="G60" s="18"/>
      <c r="H60" s="18"/>
      <c r="I60" s="18"/>
      <c r="J60" s="18"/>
      <c r="K60" s="18"/>
      <c r="L60" s="18"/>
      <c r="R60" s="242"/>
      <c r="S60" s="251"/>
      <c r="T60" s="251"/>
      <c r="U60" s="242"/>
    </row>
    <row r="61" spans="1:30" s="114" customFormat="1" ht="16" customHeight="1">
      <c r="A61" s="43"/>
      <c r="B61" s="43"/>
      <c r="C61" s="234"/>
      <c r="D61" s="234"/>
      <c r="E61" s="18"/>
      <c r="F61" s="18"/>
      <c r="G61" s="18"/>
      <c r="H61" s="18"/>
      <c r="I61" s="18"/>
      <c r="J61" s="18"/>
      <c r="K61" s="18"/>
      <c r="L61" s="18"/>
      <c r="R61" s="242"/>
      <c r="S61" s="251"/>
      <c r="T61" s="251"/>
      <c r="U61" s="242"/>
    </row>
    <row r="62" spans="1:30" s="114" customFormat="1" ht="16" customHeight="1">
      <c r="A62" s="43"/>
      <c r="B62" s="18"/>
      <c r="C62" s="20"/>
      <c r="D62" s="20"/>
      <c r="E62" s="20"/>
      <c r="F62" s="20"/>
      <c r="G62" s="18"/>
      <c r="H62" s="18"/>
      <c r="I62" s="18"/>
      <c r="J62" s="18"/>
      <c r="K62" s="18"/>
      <c r="L62" s="18"/>
      <c r="R62" s="242"/>
      <c r="S62" s="251"/>
      <c r="T62" s="251"/>
      <c r="U62" s="242"/>
    </row>
    <row r="63" spans="1:30" s="114" customFormat="1" ht="16" customHeight="1">
      <c r="A63" s="43"/>
      <c r="B63" s="18"/>
      <c r="C63" s="20"/>
      <c r="D63" s="20"/>
      <c r="E63" s="20"/>
      <c r="F63" s="20"/>
      <c r="G63" s="18"/>
      <c r="H63" s="18"/>
      <c r="I63" s="18"/>
      <c r="J63" s="18"/>
      <c r="K63" s="18"/>
      <c r="L63" s="18"/>
      <c r="R63" s="242"/>
      <c r="S63" s="251"/>
      <c r="T63" s="251"/>
      <c r="U63" s="242"/>
    </row>
    <row r="64" spans="1:30" s="114" customFormat="1" ht="16" customHeight="1">
      <c r="L64" s="18"/>
      <c r="R64" s="242"/>
      <c r="S64" s="251"/>
      <c r="T64" s="251"/>
      <c r="U64" s="242"/>
    </row>
    <row r="65" spans="12:21" s="114" customFormat="1" ht="16" customHeight="1">
      <c r="L65" s="104"/>
      <c r="R65" s="242"/>
      <c r="S65" s="251"/>
      <c r="T65" s="251"/>
      <c r="U65" s="242"/>
    </row>
    <row r="66" spans="12:21" s="114" customFormat="1" ht="16" customHeight="1">
      <c r="L66" s="18"/>
      <c r="R66" s="242"/>
      <c r="S66" s="251"/>
      <c r="T66" s="251"/>
      <c r="U66" s="242"/>
    </row>
    <row r="67" spans="12:21" s="114" customFormat="1" ht="16" customHeight="1">
      <c r="L67" s="18"/>
      <c r="R67" s="242"/>
      <c r="S67" s="251"/>
      <c r="T67" s="251"/>
      <c r="U67" s="242"/>
    </row>
    <row r="68" spans="12:21" s="114" customFormat="1" ht="16" customHeight="1">
      <c r="L68" s="18"/>
      <c r="R68" s="242"/>
      <c r="S68" s="251"/>
      <c r="T68" s="251"/>
      <c r="U68" s="242"/>
    </row>
    <row r="69" spans="12:21" s="114" customFormat="1" ht="16" customHeight="1">
      <c r="L69" s="18"/>
      <c r="R69" s="242"/>
      <c r="S69" s="251"/>
      <c r="T69" s="251"/>
      <c r="U69" s="242"/>
    </row>
    <row r="70" spans="12:21" s="114" customFormat="1">
      <c r="L70" s="18"/>
      <c r="R70" s="242"/>
      <c r="S70" s="251"/>
      <c r="T70" s="251"/>
      <c r="U70" s="242"/>
    </row>
    <row r="71" spans="12:21" s="114" customFormat="1">
      <c r="L71" s="18"/>
      <c r="R71" s="242"/>
      <c r="S71" s="251"/>
      <c r="T71" s="251"/>
      <c r="U71" s="242"/>
    </row>
    <row r="72" spans="12:21" s="114" customFormat="1">
      <c r="L72" s="18"/>
      <c r="R72" s="242"/>
      <c r="S72" s="251"/>
      <c r="T72" s="251"/>
      <c r="U72" s="242"/>
    </row>
    <row r="73" spans="12:21" s="114" customFormat="1">
      <c r="L73" s="18"/>
    </row>
    <row r="74" spans="12:21" s="114" customFormat="1">
      <c r="L74" s="18"/>
    </row>
    <row r="75" spans="12:21" s="114" customFormat="1">
      <c r="L75" s="18"/>
    </row>
    <row r="76" spans="12:21" s="114" customFormat="1">
      <c r="L76" s="18"/>
    </row>
    <row r="77" spans="12:21" s="114" customFormat="1" ht="16">
      <c r="L77" s="18"/>
      <c r="O77" s="227"/>
      <c r="P77" s="227"/>
      <c r="Q77" s="227"/>
      <c r="R77" s="227"/>
      <c r="S77" s="227"/>
      <c r="T77" s="227"/>
      <c r="U77" s="227"/>
    </row>
    <row r="78" spans="12:21" s="114" customFormat="1" ht="16">
      <c r="L78" s="18"/>
      <c r="O78" s="227"/>
      <c r="P78" s="227"/>
      <c r="Q78" s="227"/>
      <c r="R78" s="227"/>
      <c r="S78" s="227"/>
      <c r="T78" s="227"/>
      <c r="U78" s="227"/>
    </row>
    <row r="79" spans="12:21" s="114" customFormat="1" ht="16">
      <c r="L79" s="18"/>
      <c r="O79" s="227"/>
      <c r="P79" s="227"/>
      <c r="Q79" s="227"/>
      <c r="R79" s="227"/>
      <c r="S79" s="227"/>
      <c r="T79" s="227"/>
      <c r="U79" s="227"/>
    </row>
    <row r="80" spans="12:21" s="114" customFormat="1">
      <c r="L80" s="18"/>
      <c r="P80" s="242"/>
      <c r="Q80" s="242"/>
      <c r="R80" s="242"/>
      <c r="S80" s="242"/>
      <c r="T80" s="242"/>
      <c r="U80" s="242"/>
    </row>
    <row r="81" spans="1:29">
      <c r="A81" s="18"/>
    </row>
    <row r="82" spans="1:29">
      <c r="A82" s="18"/>
    </row>
    <row r="83" spans="1:29">
      <c r="A83" s="18"/>
    </row>
    <row r="84" spans="1:29">
      <c r="A84" s="18"/>
    </row>
    <row r="85" spans="1:29">
      <c r="A85" s="18"/>
    </row>
    <row r="86" spans="1:29">
      <c r="A86" s="18"/>
    </row>
    <row r="87" spans="1:29">
      <c r="A87" s="18"/>
    </row>
    <row r="88" spans="1:29">
      <c r="A88" s="18"/>
    </row>
    <row r="89" spans="1:29">
      <c r="A89" s="18"/>
    </row>
    <row r="90" spans="1:29" s="104" customFormat="1" ht="50" customHeight="1">
      <c r="L90" s="18"/>
      <c r="O90" s="252"/>
      <c r="P90" s="252"/>
      <c r="Q90" s="252"/>
      <c r="R90" s="252"/>
      <c r="S90" s="252"/>
      <c r="T90" s="252"/>
      <c r="U90" s="252"/>
      <c r="V90" s="252"/>
      <c r="W90" s="252"/>
      <c r="X90" s="252"/>
      <c r="Y90" s="252"/>
      <c r="Z90" s="252"/>
      <c r="AA90" s="252"/>
      <c r="AB90" s="252"/>
      <c r="AC90" s="252"/>
    </row>
    <row r="91" spans="1:29">
      <c r="A91" s="18"/>
    </row>
    <row r="92" spans="1:29">
      <c r="A92" s="18"/>
    </row>
    <row r="93" spans="1:29">
      <c r="A93" s="18"/>
    </row>
    <row r="94" spans="1:29">
      <c r="A94" s="18"/>
      <c r="F94" s="20"/>
    </row>
    <row r="95" spans="1:29">
      <c r="A95" s="18"/>
    </row>
    <row r="96" spans="1:29">
      <c r="A96" s="18"/>
    </row>
    <row r="97" spans="1:1">
      <c r="A97" s="18"/>
    </row>
    <row r="98" spans="1:1">
      <c r="A98" s="18"/>
    </row>
    <row r="99" spans="1:1">
      <c r="A99" s="18"/>
    </row>
    <row r="100" spans="1:1">
      <c r="A100" s="18"/>
    </row>
    <row r="101" spans="1:1">
      <c r="A101" s="18"/>
    </row>
    <row r="102" spans="1:1">
      <c r="A102" s="18"/>
    </row>
    <row r="103" spans="1:1">
      <c r="A103" s="18"/>
    </row>
    <row r="104" spans="1:1">
      <c r="A104" s="18"/>
    </row>
    <row r="105" spans="1:1">
      <c r="A105" s="18"/>
    </row>
    <row r="106" spans="1:1">
      <c r="A106" s="18"/>
    </row>
    <row r="107" spans="1:1">
      <c r="A107" s="18"/>
    </row>
    <row r="108" spans="1:1">
      <c r="A108" s="18"/>
    </row>
    <row r="109" spans="1:1">
      <c r="A109" s="18"/>
    </row>
    <row r="110" spans="1:1">
      <c r="A110" s="18"/>
    </row>
    <row r="111" spans="1:1">
      <c r="A111" s="18"/>
    </row>
    <row r="112" spans="1:1">
      <c r="A112" s="18"/>
    </row>
    <row r="113" spans="1:13">
      <c r="A113" s="18"/>
    </row>
    <row r="114" spans="1:13">
      <c r="A114" s="18"/>
    </row>
    <row r="115" spans="1:13">
      <c r="A115" s="18"/>
    </row>
    <row r="116" spans="1:13">
      <c r="A116" s="18"/>
    </row>
    <row r="117" spans="1:13">
      <c r="A117" s="18"/>
    </row>
    <row r="118" spans="1:13">
      <c r="A118" s="18"/>
      <c r="M118" s="83"/>
    </row>
    <row r="119" spans="1:13">
      <c r="A119" s="18"/>
    </row>
    <row r="120" spans="1:13" ht="15" customHeight="1">
      <c r="A120" s="18"/>
    </row>
    <row r="121" spans="1:13">
      <c r="A121" s="18"/>
    </row>
    <row r="122" spans="1:13">
      <c r="A122" s="18"/>
    </row>
    <row r="123" spans="1:13">
      <c r="A123" s="18"/>
    </row>
    <row r="124" spans="1:13">
      <c r="A124" s="18"/>
    </row>
    <row r="1048351" spans="6:6">
      <c r="F1048351" s="18" t="s">
        <v>521</v>
      </c>
    </row>
  </sheetData>
  <sheetProtection algorithmName="SHA-512" hashValue="rI/QeZHTRAaQJ0LcgE0cQwdkqARVi7qPoE62vriB+bLnpxcQPsBJnd2JDoJEhohdtIJVCYH2nQ8c5hL6if16yQ==" saltValue="fnugLIkvH/VTmBl6xZDNBg==" spinCount="100000" sheet="1" objects="1" scenarios="1" selectLockedCells="1" selectUnlockedCells="1"/>
  <sortState xmlns:xlrd2="http://schemas.microsoft.com/office/spreadsheetml/2017/richdata2" ref="G36:H54">
    <sortCondition descending="1" ref="H36:H54"/>
  </sortState>
  <mergeCells count="1">
    <mergeCell ref="H33:J33"/>
  </mergeCells>
  <phoneticPr fontId="2" type="noConversion"/>
  <conditionalFormatting sqref="L3:L23">
    <cfRule type="colorScale" priority="1">
      <colorScale>
        <cfvo type="min"/>
        <cfvo type="num" val="0"/>
        <cfvo type="max"/>
        <color rgb="FFFCFCFF"/>
        <color theme="0"/>
        <color theme="5"/>
      </colorScale>
    </cfRule>
  </conditionalFormatting>
  <conditionalFormatting sqref="M3:M25">
    <cfRule type="colorScale" priority="626">
      <colorScale>
        <cfvo type="min"/>
        <cfvo type="percentile" val="50"/>
        <cfvo type="max"/>
        <color rgb="FFF8696B"/>
        <color rgb="FFFFEB84"/>
        <color rgb="FF63BE7B"/>
      </colorScale>
    </cfRule>
  </conditionalFormatting>
  <conditionalFormatting sqref="N29:N48">
    <cfRule type="colorScale" priority="5">
      <colorScale>
        <cfvo type="min"/>
        <cfvo type="percentile" val="50"/>
        <cfvo type="max"/>
        <color rgb="FFF8696B"/>
        <color rgb="FFFFEB84"/>
        <color rgb="FF63BE7B"/>
      </colorScale>
    </cfRule>
  </conditionalFormatting>
  <pageMargins left="0.7" right="0.7" top="0.75" bottom="0.75" header="0.3" footer="0.3"/>
  <pageSetup orientation="portrait" horizontalDpi="0" verticalDpi="0"/>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EC420-EE10-F542-9796-723DE9BED446}">
  <sheetPr>
    <tabColor rgb="FFABA3C8"/>
  </sheetPr>
  <dimension ref="A1:AY55"/>
  <sheetViews>
    <sheetView zoomScaleNormal="100" workbookViewId="0">
      <selection activeCell="S32" sqref="S32"/>
    </sheetView>
  </sheetViews>
  <sheetFormatPr baseColWidth="10" defaultColWidth="11" defaultRowHeight="16"/>
  <cols>
    <col min="1" max="1" width="17.33203125" style="8" customWidth="1"/>
    <col min="2" max="2" width="14.5" style="8" customWidth="1"/>
    <col min="3" max="5" width="15.6640625" style="8" customWidth="1"/>
    <col min="6" max="11" width="15.6640625" style="14" customWidth="1"/>
    <col min="12" max="12" width="56.1640625" style="14" customWidth="1"/>
    <col min="13" max="13" width="13.1640625" style="14" customWidth="1"/>
    <col min="14" max="15" width="11.33203125" style="14" customWidth="1"/>
    <col min="16" max="16" width="13.1640625" style="14" customWidth="1"/>
    <col min="17" max="19" width="9.83203125" style="14" customWidth="1"/>
    <col min="20" max="20" width="11" style="8"/>
    <col min="21" max="21" width="11.5" style="8" bestFit="1" customWidth="1"/>
    <col min="22" max="36" width="11" style="8"/>
    <col min="37" max="43" width="13.6640625" style="8" customWidth="1"/>
    <col min="44" max="16384" width="11" style="8"/>
  </cols>
  <sheetData>
    <row r="1" spans="1:49" s="298" customFormat="1" ht="67" customHeight="1">
      <c r="A1" s="438" t="s">
        <v>31</v>
      </c>
      <c r="B1" s="438" t="s">
        <v>159</v>
      </c>
      <c r="C1" s="438" t="s">
        <v>522</v>
      </c>
      <c r="D1" s="438" t="s">
        <v>523</v>
      </c>
      <c r="E1" s="438" t="s">
        <v>524</v>
      </c>
      <c r="F1" s="438" t="s">
        <v>525</v>
      </c>
      <c r="G1" s="438" t="s">
        <v>526</v>
      </c>
      <c r="H1" s="438" t="s">
        <v>527</v>
      </c>
      <c r="I1" s="438" t="s">
        <v>528</v>
      </c>
      <c r="J1" s="438" t="s">
        <v>529</v>
      </c>
      <c r="K1" s="438" t="s">
        <v>431</v>
      </c>
      <c r="L1" s="438" t="s">
        <v>530</v>
      </c>
      <c r="AS1" s="14"/>
      <c r="AT1" s="14"/>
      <c r="AU1" s="14"/>
      <c r="AV1" s="14"/>
      <c r="AW1" s="14"/>
    </row>
    <row r="2" spans="1:49" ht="20" customHeight="1">
      <c r="A2" s="294" t="s">
        <v>64</v>
      </c>
      <c r="B2" s="294"/>
      <c r="C2" s="295"/>
      <c r="D2" s="295"/>
      <c r="E2" s="295"/>
      <c r="F2" s="295"/>
      <c r="G2" s="295"/>
      <c r="H2" s="295"/>
      <c r="I2" s="295">
        <f t="shared" ref="I2:I22" si="0">SUMPRODUCT(G2:H2,$B$24:$C$24)</f>
        <v>0</v>
      </c>
      <c r="J2" s="296">
        <f>_xlfn.XLOOKUP(A2,Summary!$B$75:$B$95,Summary!$C$75:$C$95)</f>
        <v>75.923325521056313</v>
      </c>
      <c r="K2" s="297">
        <f>IF(J2&gt;=$J$2,(MAX($I$4:$I$22))*100,I2*100)</f>
        <v>26.590884934370575</v>
      </c>
      <c r="L2" s="85"/>
      <c r="M2" s="8"/>
      <c r="N2" s="8"/>
      <c r="O2" s="8"/>
      <c r="P2" s="8"/>
      <c r="Q2" s="8"/>
      <c r="R2" s="8"/>
      <c r="S2" s="8"/>
      <c r="AS2" s="14"/>
      <c r="AT2" s="14"/>
      <c r="AU2" s="14"/>
      <c r="AV2" s="14"/>
      <c r="AW2" s="14"/>
    </row>
    <row r="3" spans="1:49" ht="20" customHeight="1">
      <c r="A3" s="79" t="s">
        <v>61</v>
      </c>
      <c r="B3" s="79"/>
      <c r="C3" s="263"/>
      <c r="D3" s="263"/>
      <c r="E3" s="263"/>
      <c r="F3" s="263"/>
      <c r="G3" s="263"/>
      <c r="H3" s="263"/>
      <c r="I3" s="263">
        <f t="shared" si="0"/>
        <v>0</v>
      </c>
      <c r="J3" s="153">
        <f>_xlfn.XLOOKUP(A3,Summary!$B$75:$B$95,Summary!$C$75:$C$95)</f>
        <v>100</v>
      </c>
      <c r="K3" s="270">
        <f t="shared" ref="K3:K22" si="1">IF(J3&gt;=$J$2,(MAX($I$4:$I$22))*100,I3*100)</f>
        <v>26.590884934370575</v>
      </c>
      <c r="L3" s="265" t="s">
        <v>531</v>
      </c>
      <c r="M3" s="8"/>
      <c r="N3" s="8"/>
      <c r="O3" s="8"/>
      <c r="P3" s="8"/>
      <c r="Q3" s="8"/>
      <c r="R3" s="8"/>
      <c r="S3" s="8"/>
      <c r="AS3" s="14"/>
      <c r="AT3" s="14"/>
      <c r="AU3" s="14"/>
      <c r="AV3" s="14"/>
      <c r="AW3" s="14"/>
    </row>
    <row r="4" spans="1:49" ht="20" customHeight="1">
      <c r="A4" s="79" t="s">
        <v>74</v>
      </c>
      <c r="B4" s="79"/>
      <c r="C4" s="263">
        <f>(B30+E30)/$G30</f>
        <v>0.12789325807742799</v>
      </c>
      <c r="D4" s="263">
        <f>C30/$G30</f>
        <v>0.18752190585614825</v>
      </c>
      <c r="E4" s="263">
        <f>D30/$G30</f>
        <v>0.52255927283964188</v>
      </c>
      <c r="F4" s="263">
        <f>F30/$G30</f>
        <v>0.16202556322678185</v>
      </c>
      <c r="G4" s="263">
        <f>(0.15*D4)+(0.3*E4)+(0.5*F4)</f>
        <v>0.26590884934370573</v>
      </c>
      <c r="H4" s="263"/>
      <c r="I4" s="263">
        <f>SUMPRODUCT(G4:H4,$B$24:$C$24)</f>
        <v>0.26590884934370573</v>
      </c>
      <c r="J4" s="153">
        <f>_xlfn.XLOOKUP(A4,Summary!$B$75:$B$95,Summary!$C$75:$C$95)</f>
        <v>8.9539666340987036</v>
      </c>
      <c r="K4" s="270">
        <f t="shared" si="1"/>
        <v>26.590884934370575</v>
      </c>
      <c r="L4" s="265" t="s">
        <v>532</v>
      </c>
      <c r="M4" s="8"/>
      <c r="N4" s="8"/>
      <c r="O4" s="8"/>
      <c r="P4" s="8"/>
      <c r="Q4" s="8"/>
      <c r="R4" s="8"/>
      <c r="S4" s="8"/>
      <c r="AS4" s="14"/>
      <c r="AT4" s="14"/>
      <c r="AU4" s="14"/>
      <c r="AV4" s="14"/>
      <c r="AW4" s="14"/>
    </row>
    <row r="5" spans="1:49" ht="20" customHeight="1">
      <c r="A5" s="79" t="s">
        <v>65</v>
      </c>
      <c r="B5" s="79"/>
      <c r="C5" s="263">
        <f>B33/$G33</f>
        <v>0.22676396197342791</v>
      </c>
      <c r="D5" s="263">
        <f>C33/$G33</f>
        <v>0.34066924441084978</v>
      </c>
      <c r="E5" s="263">
        <f>D33/$G33</f>
        <v>0.35116434572782512</v>
      </c>
      <c r="F5" s="263">
        <f>E33/$G33</f>
        <v>8.1402447887897203E-2</v>
      </c>
      <c r="G5" s="263">
        <f>0.25*E5+(0.5*0.5*(1/3))*D5</f>
        <v>0.11618019013286043</v>
      </c>
      <c r="H5" s="267">
        <f>0.25*E5</f>
        <v>8.7791086431956281E-2</v>
      </c>
      <c r="I5" s="263">
        <f>SUMPRODUCT(G5:H5,$B$24:$C$24)</f>
        <v>0.16007573334883857</v>
      </c>
      <c r="J5" s="153">
        <f>_xlfn.XLOOKUP(A5,Summary!$B$75:$B$95,Summary!$C$75:$C$95)</f>
        <v>17</v>
      </c>
      <c r="K5" s="270">
        <f t="shared" si="1"/>
        <v>16.007573334883858</v>
      </c>
      <c r="L5" s="265" t="s">
        <v>533</v>
      </c>
      <c r="M5" s="8"/>
      <c r="N5" s="8"/>
      <c r="O5" s="8"/>
      <c r="P5" s="8"/>
      <c r="Q5" s="8"/>
      <c r="R5" s="8"/>
      <c r="S5" s="8"/>
      <c r="X5" s="81"/>
      <c r="AS5" s="14"/>
      <c r="AT5" s="14"/>
      <c r="AU5" s="14"/>
      <c r="AV5" s="14"/>
      <c r="AW5" s="14"/>
    </row>
    <row r="6" spans="1:49" ht="20" customHeight="1">
      <c r="A6" s="79" t="s">
        <v>70</v>
      </c>
      <c r="B6" s="79"/>
      <c r="C6" s="263">
        <f>B29/$G29</f>
        <v>8.1363812475784586E-2</v>
      </c>
      <c r="D6" s="263">
        <f>C29/$G29</f>
        <v>0.16272762495156917</v>
      </c>
      <c r="E6" s="263">
        <f>D29/$G29</f>
        <v>0.75590856257264627</v>
      </c>
      <c r="F6" s="263">
        <f>E29/$G29</f>
        <v>0</v>
      </c>
      <c r="G6" s="263">
        <f>((4/5)*0.25*D6)+(0.15*E6)</f>
        <v>0.14593180937621075</v>
      </c>
      <c r="H6" s="263"/>
      <c r="I6" s="263">
        <f t="shared" si="0"/>
        <v>0.14593180937621075</v>
      </c>
      <c r="J6" s="153">
        <f>_xlfn.XLOOKUP(A6,Summary!$B$75:$B$95,Summary!$C$75:$C$95)</f>
        <v>4.0117291626590452</v>
      </c>
      <c r="K6" s="270">
        <f t="shared" si="1"/>
        <v>14.593180937621074</v>
      </c>
      <c r="L6" s="265" t="s">
        <v>534</v>
      </c>
      <c r="M6" s="8"/>
      <c r="N6" s="8"/>
    </row>
    <row r="7" spans="1:49" ht="20" customHeight="1">
      <c r="A7" s="79" t="s">
        <v>82</v>
      </c>
      <c r="B7" s="79"/>
      <c r="C7" s="263">
        <f>B35/$G35</f>
        <v>0.28865975718829412</v>
      </c>
      <c r="D7" s="263">
        <f>C35/$G35</f>
        <v>0.43298963578244115</v>
      </c>
      <c r="E7" s="263">
        <f>D35/$G35</f>
        <v>0.23575020006341632</v>
      </c>
      <c r="F7" s="263">
        <f>E35/$G35</f>
        <v>4.2600406965848443E-2</v>
      </c>
      <c r="G7" s="263">
        <f>(0.25*E7)</f>
        <v>5.893755001585408E-2</v>
      </c>
      <c r="H7" s="263">
        <f>0.2*F7</f>
        <v>8.5200813931696883E-3</v>
      </c>
      <c r="I7" s="263">
        <f t="shared" si="0"/>
        <v>6.3197590712438925E-2</v>
      </c>
      <c r="J7" s="153">
        <f>_xlfn.XLOOKUP(A7,Summary!$B$75:$B$95,Summary!$C$75:$C$95)</f>
        <v>9.7245978824938248</v>
      </c>
      <c r="K7" s="270">
        <f t="shared" si="1"/>
        <v>6.3197590712438929</v>
      </c>
      <c r="L7" s="265" t="s">
        <v>535</v>
      </c>
      <c r="M7" s="8"/>
      <c r="N7" s="8"/>
      <c r="O7" s="8"/>
      <c r="P7" s="8"/>
      <c r="Q7" s="8"/>
      <c r="R7" s="8"/>
      <c r="S7" s="8"/>
      <c r="AS7" s="14"/>
      <c r="AT7" s="14"/>
      <c r="AU7" s="14"/>
      <c r="AV7" s="14"/>
      <c r="AW7" s="14"/>
    </row>
    <row r="8" spans="1:49" ht="20" customHeight="1">
      <c r="A8" s="79" t="s">
        <v>71</v>
      </c>
      <c r="B8" s="79"/>
      <c r="C8" s="263">
        <f>B34/$G34</f>
        <v>0.29724901750625221</v>
      </c>
      <c r="D8" s="263">
        <f>C34/$G34</f>
        <v>0.29724901750625221</v>
      </c>
      <c r="E8" s="263">
        <f>D34/$G34</f>
        <v>0.39299749910682386</v>
      </c>
      <c r="F8" s="263">
        <f>E34/$G34</f>
        <v>1.2504465880671669E-2</v>
      </c>
      <c r="G8" s="263">
        <f>0.2*E8*(1/3)</f>
        <v>2.6199833273788255E-2</v>
      </c>
      <c r="H8" s="268">
        <f>(1/3)*0.25*D8</f>
        <v>2.4770751458854351E-2</v>
      </c>
      <c r="I8" s="263">
        <f t="shared" si="0"/>
        <v>3.858520900321543E-2</v>
      </c>
      <c r="J8" s="153">
        <f>_xlfn.XLOOKUP(A8,Summary!$B$75:$B$95,Summary!$C$75:$C$95)</f>
        <v>15.163581857672732</v>
      </c>
      <c r="K8" s="270">
        <f t="shared" si="1"/>
        <v>3.858520900321543</v>
      </c>
      <c r="L8" s="265" t="s">
        <v>536</v>
      </c>
      <c r="M8" s="8"/>
      <c r="N8" s="8"/>
      <c r="O8" s="8"/>
      <c r="P8" s="8"/>
      <c r="Q8" s="8"/>
      <c r="R8" s="8"/>
      <c r="S8" s="8"/>
      <c r="AS8" s="14"/>
      <c r="AT8" s="14"/>
      <c r="AU8" s="14"/>
      <c r="AV8" s="14"/>
      <c r="AW8" s="14"/>
    </row>
    <row r="9" spans="1:49" ht="20" customHeight="1">
      <c r="A9" s="79" t="s">
        <v>88</v>
      </c>
      <c r="B9" s="79"/>
      <c r="C9" s="263">
        <f>B31/$G31</f>
        <v>8.9690830431571167E-2</v>
      </c>
      <c r="D9" s="263">
        <f>C31/$G31</f>
        <v>0.14529914529914531</v>
      </c>
      <c r="E9" s="263">
        <f>D31/$G31</f>
        <v>0.76501002426928355</v>
      </c>
      <c r="F9" s="263">
        <f>E31/$G31</f>
        <v>0</v>
      </c>
      <c r="G9" s="263">
        <f>0.2*D9</f>
        <v>2.9059829059829064E-2</v>
      </c>
      <c r="H9" s="263"/>
      <c r="I9" s="263">
        <f t="shared" si="0"/>
        <v>2.9059829059829064E-2</v>
      </c>
      <c r="J9" s="153">
        <f>_xlfn.XLOOKUP(A9,Summary!$B$75:$B$95,Summary!$C$75:$C$95)</f>
        <v>3.9456928047497555</v>
      </c>
      <c r="K9" s="270">
        <f t="shared" si="1"/>
        <v>2.9059829059829063</v>
      </c>
      <c r="L9" s="266" t="s">
        <v>537</v>
      </c>
      <c r="M9" s="8"/>
      <c r="N9" s="8"/>
      <c r="O9" s="8"/>
      <c r="P9" s="8"/>
      <c r="Q9" s="8"/>
      <c r="R9" s="8"/>
      <c r="S9" s="8"/>
      <c r="AS9" s="14"/>
      <c r="AT9" s="14"/>
      <c r="AU9" s="14"/>
      <c r="AV9" s="14"/>
      <c r="AW9" s="14"/>
    </row>
    <row r="10" spans="1:49" ht="20" customHeight="1">
      <c r="A10" s="79" t="s">
        <v>69</v>
      </c>
      <c r="B10" s="79"/>
      <c r="C10" s="263">
        <f>B28/$G28</f>
        <v>0.19047619047619047</v>
      </c>
      <c r="D10" s="263">
        <f>C28/$G28</f>
        <v>0.25641025641025639</v>
      </c>
      <c r="E10" s="263">
        <f>D28/$G28</f>
        <v>0.43223443223443225</v>
      </c>
      <c r="F10" s="263">
        <f>E28/$G28</f>
        <v>0.12087912087912088</v>
      </c>
      <c r="G10" s="271"/>
      <c r="H10" s="263">
        <f>D10*(1/3)*0.5</f>
        <v>4.2735042735042729E-2</v>
      </c>
      <c r="I10" s="263">
        <f>SUMPRODUCT(G10:H10,$B$24:$C$24)</f>
        <v>2.1367521367521364E-2</v>
      </c>
      <c r="J10" s="153">
        <f>_xlfn.XLOOKUP(A10,Summary!$B$75:$B$95,Summary!$C$75:$C$95)</f>
        <v>10.633433418972269</v>
      </c>
      <c r="K10" s="270">
        <f t="shared" si="1"/>
        <v>2.1367521367521363</v>
      </c>
      <c r="L10" s="299" t="s">
        <v>538</v>
      </c>
    </row>
    <row r="11" spans="1:49" ht="20" customHeight="1">
      <c r="A11" s="79" t="s">
        <v>91</v>
      </c>
      <c r="B11" s="79"/>
      <c r="C11" s="263">
        <f>B32/$G32</f>
        <v>0.22288261515601784</v>
      </c>
      <c r="D11" s="263">
        <f>C32/$G32</f>
        <v>0.27934621099554235</v>
      </c>
      <c r="E11" s="263">
        <f>D32/$G32</f>
        <v>0.4739970282317979</v>
      </c>
      <c r="F11" s="263">
        <f>E32/$G32</f>
        <v>2.3774145616641901E-2</v>
      </c>
      <c r="G11" s="263">
        <f>0.05*0.6*E11</f>
        <v>1.4219910846953936E-2</v>
      </c>
      <c r="H11" s="263"/>
      <c r="I11" s="263">
        <f t="shared" si="0"/>
        <v>1.4219910846953936E-2</v>
      </c>
      <c r="J11" s="153">
        <f>_xlfn.XLOOKUP(A11,Summary!$B$75:$B$95,Summary!$C$75:$C$95)</f>
        <v>4.6077387497425155</v>
      </c>
      <c r="K11" s="270">
        <f t="shared" si="1"/>
        <v>1.4219910846953936</v>
      </c>
      <c r="L11" s="265" t="s">
        <v>539</v>
      </c>
      <c r="M11" s="8"/>
      <c r="N11" s="8"/>
      <c r="O11" s="8"/>
      <c r="P11" s="8"/>
      <c r="Q11" s="8"/>
      <c r="R11" s="8"/>
      <c r="S11" s="8"/>
      <c r="AS11" s="14"/>
      <c r="AT11" s="14"/>
      <c r="AU11" s="14"/>
      <c r="AV11" s="14"/>
      <c r="AW11" s="14"/>
    </row>
    <row r="12" spans="1:49" ht="20" customHeight="1">
      <c r="A12" s="79" t="s">
        <v>72</v>
      </c>
      <c r="B12" s="79" t="s">
        <v>453</v>
      </c>
      <c r="C12" s="263">
        <f t="shared" ref="C12:G13" si="2">B36/$G36</f>
        <v>0.21019646595326943</v>
      </c>
      <c r="D12" s="263">
        <f t="shared" si="2"/>
        <v>0.3114069874787086</v>
      </c>
      <c r="E12" s="263">
        <f t="shared" si="2"/>
        <v>0.22183359554798529</v>
      </c>
      <c r="F12" s="263">
        <f t="shared" si="2"/>
        <v>0.25656295102003668</v>
      </c>
      <c r="G12" s="263">
        <f t="shared" si="2"/>
        <v>0</v>
      </c>
      <c r="H12" s="263">
        <f>0.3*E12</f>
        <v>6.6550078664395579E-2</v>
      </c>
      <c r="I12" s="263">
        <f>SUMPRODUCT(G12:H12,$B$24:$C$24)</f>
        <v>3.3275039332197789E-2</v>
      </c>
      <c r="J12" s="153">
        <f>_xlfn.XLOOKUP(A12,Summary!$B$75:$B$95,Summary!$C$75:$C$95)</f>
        <v>29.384781599567379</v>
      </c>
      <c r="K12" s="270">
        <v>0.96497614063373582</v>
      </c>
      <c r="L12" s="265" t="s">
        <v>540</v>
      </c>
      <c r="M12" s="8"/>
      <c r="N12" s="8"/>
      <c r="O12" s="8"/>
      <c r="P12" s="8"/>
      <c r="Q12" s="8"/>
      <c r="R12" s="8"/>
      <c r="S12" s="8"/>
      <c r="AS12" s="14"/>
      <c r="AT12" s="14"/>
      <c r="AU12" s="14"/>
      <c r="AV12" s="14"/>
      <c r="AW12" s="14"/>
    </row>
    <row r="13" spans="1:49" ht="20" customHeight="1">
      <c r="A13" s="79" t="s">
        <v>143</v>
      </c>
      <c r="B13" s="79" t="s">
        <v>541</v>
      </c>
      <c r="C13" s="263">
        <f t="shared" si="2"/>
        <v>0.41</v>
      </c>
      <c r="D13" s="263">
        <f t="shared" si="2"/>
        <v>0.26</v>
      </c>
      <c r="E13" s="263">
        <f t="shared" si="2"/>
        <v>0.33</v>
      </c>
      <c r="F13" s="263">
        <f t="shared" si="2"/>
        <v>0</v>
      </c>
      <c r="G13" s="263">
        <f t="shared" si="2"/>
        <v>0</v>
      </c>
      <c r="H13" s="263">
        <f>0.17*D37</f>
        <v>5.6100000000000004E-2</v>
      </c>
      <c r="I13" s="263">
        <f>SUMPRODUCT(G13:H13,$B$24:$C$24)</f>
        <v>2.8050000000000002E-2</v>
      </c>
      <c r="J13" s="153">
        <f>_xlfn.XLOOKUP(A13,Summary!$B$75:$B$95,Summary!$C$75:$C$95)</f>
        <v>8.1493666204389061</v>
      </c>
      <c r="K13" s="270">
        <v>1.0980762979625271</v>
      </c>
      <c r="L13" s="265" t="s">
        <v>542</v>
      </c>
      <c r="M13" s="8"/>
      <c r="N13" s="8"/>
      <c r="O13" s="8"/>
      <c r="P13" s="8"/>
      <c r="Q13" s="8"/>
      <c r="R13" s="8"/>
      <c r="S13" s="8"/>
      <c r="AS13" s="14"/>
      <c r="AT13" s="14"/>
      <c r="AU13" s="14"/>
      <c r="AV13" s="14"/>
      <c r="AW13" s="14"/>
    </row>
    <row r="14" spans="1:49" ht="20" customHeight="1">
      <c r="A14" s="79" t="s">
        <v>77</v>
      </c>
      <c r="B14" s="79"/>
      <c r="C14" s="269"/>
      <c r="D14" s="263"/>
      <c r="E14" s="263"/>
      <c r="F14" s="263"/>
      <c r="G14" s="263"/>
      <c r="H14" s="263"/>
      <c r="I14" s="263">
        <f t="shared" si="0"/>
        <v>0</v>
      </c>
      <c r="J14" s="153">
        <f>_xlfn.XLOOKUP(A14,Summary!$B$75:$B$95,Summary!$C$75:$C$95)</f>
        <v>1.7406583867304759</v>
      </c>
      <c r="K14" s="270">
        <f t="shared" si="1"/>
        <v>0</v>
      </c>
      <c r="L14" s="265" t="s">
        <v>543</v>
      </c>
      <c r="M14" s="8"/>
      <c r="N14" s="8"/>
      <c r="O14" s="8"/>
      <c r="P14" s="8"/>
      <c r="Q14" s="8"/>
      <c r="R14" s="8"/>
      <c r="S14" s="8"/>
    </row>
    <row r="15" spans="1:49" ht="20" customHeight="1">
      <c r="A15" s="79" t="s">
        <v>92</v>
      </c>
      <c r="B15" s="79"/>
      <c r="C15" s="263"/>
      <c r="D15" s="263"/>
      <c r="E15" s="263"/>
      <c r="F15" s="263"/>
      <c r="G15" s="263"/>
      <c r="H15" s="263"/>
      <c r="I15" s="263">
        <f t="shared" si="0"/>
        <v>0</v>
      </c>
      <c r="J15" s="153">
        <f>_xlfn.XLOOKUP(A15,Summary!$B$75:$B$95,Summary!$C$75:$C$95)</f>
        <v>7.1711724078157335</v>
      </c>
      <c r="K15" s="270">
        <f t="shared" si="1"/>
        <v>0</v>
      </c>
      <c r="L15" s="8"/>
      <c r="M15" s="8"/>
      <c r="N15" s="8"/>
      <c r="O15" s="8"/>
      <c r="P15" s="8"/>
      <c r="Q15" s="8"/>
      <c r="R15" s="8"/>
      <c r="S15" s="8"/>
      <c r="AS15" s="14"/>
      <c r="AT15" s="14"/>
      <c r="AU15" s="14"/>
      <c r="AV15" s="14"/>
      <c r="AW15" s="14"/>
    </row>
    <row r="16" spans="1:49" ht="20" customHeight="1">
      <c r="A16" s="79" t="s">
        <v>89</v>
      </c>
      <c r="B16" s="79"/>
      <c r="C16" s="263"/>
      <c r="D16" s="263"/>
      <c r="E16" s="263"/>
      <c r="F16" s="263"/>
      <c r="G16" s="263"/>
      <c r="H16" s="263"/>
      <c r="I16" s="263">
        <f t="shared" si="0"/>
        <v>0</v>
      </c>
      <c r="J16" s="153">
        <f>_xlfn.XLOOKUP(A16,Summary!$B$75:$B$95,Summary!$C$75:$C$95)</f>
        <v>0.67008984767629642</v>
      </c>
      <c r="K16" s="270">
        <f t="shared" si="1"/>
        <v>0</v>
      </c>
      <c r="L16" s="265" t="s">
        <v>544</v>
      </c>
      <c r="M16" s="8"/>
      <c r="N16" s="8"/>
      <c r="O16" s="8"/>
      <c r="P16" s="8"/>
      <c r="Q16" s="8"/>
      <c r="R16" s="8"/>
      <c r="S16" s="8"/>
      <c r="AS16" s="14"/>
      <c r="AT16" s="14"/>
      <c r="AU16" s="14"/>
      <c r="AV16" s="14"/>
      <c r="AW16" s="14"/>
    </row>
    <row r="17" spans="1:51" ht="20" customHeight="1">
      <c r="A17" s="79" t="s">
        <v>99</v>
      </c>
      <c r="B17" s="79"/>
      <c r="C17" s="263"/>
      <c r="D17" s="263"/>
      <c r="E17" s="263"/>
      <c r="F17" s="263"/>
      <c r="G17" s="263"/>
      <c r="H17" s="263"/>
      <c r="I17" s="263">
        <f t="shared" si="0"/>
        <v>0</v>
      </c>
      <c r="J17" s="153">
        <f>_xlfn.XLOOKUP(A17,Summary!$B$75:$B$95,Summary!$C$75:$C$95)</f>
        <v>3.3601875969840794E-2</v>
      </c>
      <c r="K17" s="270">
        <f t="shared" si="1"/>
        <v>0</v>
      </c>
      <c r="L17" s="265" t="s">
        <v>545</v>
      </c>
      <c r="M17" s="8"/>
      <c r="N17" s="8"/>
      <c r="O17" s="8"/>
      <c r="P17" s="8"/>
      <c r="Q17" s="8"/>
      <c r="R17" s="8"/>
      <c r="S17" s="8"/>
      <c r="AS17" s="14"/>
      <c r="AT17" s="14"/>
      <c r="AU17" s="14"/>
      <c r="AV17" s="14"/>
      <c r="AW17" s="14"/>
    </row>
    <row r="18" spans="1:51" ht="20" customHeight="1">
      <c r="A18" s="79" t="s">
        <v>90</v>
      </c>
      <c r="B18" s="79"/>
      <c r="C18" s="263"/>
      <c r="D18" s="263"/>
      <c r="E18" s="263"/>
      <c r="F18" s="263"/>
      <c r="G18" s="272"/>
      <c r="H18" s="272"/>
      <c r="I18" s="263">
        <f t="shared" si="0"/>
        <v>0</v>
      </c>
      <c r="J18" s="153">
        <f>_xlfn.XLOOKUP(A18,Summary!$B$75:$B$95,Summary!$C$75:$C$95)</f>
        <v>17.431697249919381</v>
      </c>
      <c r="K18" s="270">
        <f t="shared" si="1"/>
        <v>0</v>
      </c>
      <c r="M18" s="8"/>
      <c r="N18" s="8"/>
      <c r="O18" s="8"/>
      <c r="P18" s="8"/>
      <c r="Q18" s="8"/>
      <c r="R18" s="8"/>
      <c r="S18" s="8"/>
      <c r="AS18" s="14"/>
      <c r="AT18" s="14"/>
      <c r="AU18" s="14"/>
      <c r="AV18" s="14"/>
      <c r="AW18" s="14"/>
    </row>
    <row r="19" spans="1:51" ht="20" customHeight="1">
      <c r="A19" s="79" t="s">
        <v>68</v>
      </c>
      <c r="B19" s="79"/>
      <c r="C19" s="263"/>
      <c r="D19" s="263"/>
      <c r="E19" s="263"/>
      <c r="F19" s="263"/>
      <c r="G19" s="263"/>
      <c r="H19" s="263"/>
      <c r="I19" s="263">
        <f t="shared" si="0"/>
        <v>0</v>
      </c>
      <c r="J19" s="153">
        <f>_xlfn.XLOOKUP(A19,Summary!$B$75:$B$95,Summary!$C$75:$C$95)</f>
        <v>40.350167848934703</v>
      </c>
      <c r="K19" s="270">
        <f t="shared" si="1"/>
        <v>0</v>
      </c>
      <c r="L19" s="8"/>
      <c r="M19" s="8"/>
      <c r="N19" s="8"/>
      <c r="O19" s="8"/>
      <c r="P19" s="8"/>
      <c r="Q19" s="8"/>
      <c r="R19" s="8"/>
      <c r="S19" s="8"/>
      <c r="AS19" s="14"/>
      <c r="AT19" s="14"/>
      <c r="AU19" s="14"/>
      <c r="AV19" s="14"/>
      <c r="AW19" s="14"/>
    </row>
    <row r="20" spans="1:51" ht="20" customHeight="1">
      <c r="A20" s="79" t="s">
        <v>76</v>
      </c>
      <c r="B20" s="79"/>
      <c r="C20" s="263"/>
      <c r="D20" s="263"/>
      <c r="E20" s="263"/>
      <c r="F20" s="263"/>
      <c r="G20" s="263"/>
      <c r="H20" s="263"/>
      <c r="I20" s="263">
        <f t="shared" si="0"/>
        <v>0</v>
      </c>
      <c r="J20" s="153">
        <f>_xlfn.XLOOKUP(A20,Summary!$B$75:$B$95,Summary!$C$75:$C$95)</f>
        <v>20.760160998617206</v>
      </c>
      <c r="K20" s="270">
        <f t="shared" si="1"/>
        <v>0</v>
      </c>
      <c r="L20" s="8"/>
      <c r="M20" s="8"/>
      <c r="N20" s="8"/>
      <c r="O20" s="8"/>
      <c r="P20" s="8"/>
      <c r="Q20" s="8"/>
      <c r="R20" s="8"/>
      <c r="S20" s="8"/>
      <c r="AS20" s="14"/>
      <c r="AT20" s="14"/>
      <c r="AU20" s="14"/>
      <c r="AV20" s="14"/>
      <c r="AW20" s="14"/>
    </row>
    <row r="21" spans="1:51" ht="20" customHeight="1">
      <c r="A21" s="79" t="s">
        <v>81</v>
      </c>
      <c r="B21" s="79"/>
      <c r="C21" s="263"/>
      <c r="D21" s="263"/>
      <c r="E21" s="263"/>
      <c r="F21" s="263"/>
      <c r="G21" s="263"/>
      <c r="H21" s="263"/>
      <c r="I21" s="263">
        <f t="shared" si="0"/>
        <v>0</v>
      </c>
      <c r="J21" s="153">
        <f>_xlfn.XLOOKUP(A21,Summary!$B$75:$B$95,Summary!$C$75:$C$95)</f>
        <v>17.018979831526519</v>
      </c>
      <c r="K21" s="270">
        <f t="shared" si="1"/>
        <v>0</v>
      </c>
      <c r="L21" s="8"/>
      <c r="M21" s="8"/>
      <c r="N21" s="8"/>
      <c r="O21" s="8"/>
      <c r="P21" s="8"/>
      <c r="Q21" s="8"/>
      <c r="R21" s="8"/>
      <c r="S21" s="8"/>
      <c r="AS21" s="14"/>
      <c r="AT21" s="14"/>
      <c r="AU21" s="14"/>
      <c r="AV21" s="14"/>
      <c r="AW21" s="14"/>
    </row>
    <row r="22" spans="1:51" ht="20" customHeight="1">
      <c r="A22" s="79" t="s">
        <v>98</v>
      </c>
      <c r="B22" s="79"/>
      <c r="C22" s="263"/>
      <c r="D22" s="263"/>
      <c r="E22" s="263"/>
      <c r="F22" s="263"/>
      <c r="G22" s="263"/>
      <c r="H22" s="263"/>
      <c r="I22" s="263">
        <f t="shared" si="0"/>
        <v>0</v>
      </c>
      <c r="J22" s="153">
        <f>_xlfn.XLOOKUP(A22,Summary!$B$75:$B$95,Summary!$C$75:$C$95)</f>
        <v>2.1899567490179606</v>
      </c>
      <c r="K22" s="270">
        <f t="shared" si="1"/>
        <v>0</v>
      </c>
      <c r="L22" s="300" t="s">
        <v>546</v>
      </c>
      <c r="M22" s="8"/>
      <c r="N22" s="8"/>
      <c r="O22" s="8"/>
      <c r="P22" s="8"/>
      <c r="Q22" s="8"/>
      <c r="R22" s="8"/>
      <c r="S22" s="8"/>
      <c r="AS22" s="14"/>
      <c r="AT22" s="14"/>
      <c r="AU22" s="14"/>
      <c r="AV22" s="14"/>
      <c r="AW22" s="14"/>
    </row>
    <row r="24" spans="1:51">
      <c r="A24" s="312" t="s">
        <v>547</v>
      </c>
      <c r="B24" s="313">
        <v>1</v>
      </c>
      <c r="C24" s="314">
        <v>0.5</v>
      </c>
      <c r="D24" s="301"/>
      <c r="F24" s="302"/>
      <c r="M24" s="303"/>
      <c r="N24" s="301"/>
      <c r="O24" s="301"/>
      <c r="P24" s="301"/>
      <c r="Q24" s="8"/>
      <c r="R24" s="8"/>
      <c r="S24" s="8"/>
      <c r="U24" s="304"/>
    </row>
    <row r="25" spans="1:51" ht="14" customHeight="1"/>
    <row r="26" spans="1:51" ht="14" customHeight="1">
      <c r="F26" s="8"/>
      <c r="G26" s="8"/>
      <c r="H26" s="8"/>
      <c r="I26" s="8"/>
      <c r="J26" s="8"/>
      <c r="K26" s="8"/>
      <c r="L26" s="8"/>
      <c r="M26" s="8"/>
      <c r="N26" s="8"/>
      <c r="AU26" s="14"/>
      <c r="AV26" s="14"/>
      <c r="AW26" s="14"/>
      <c r="AX26" s="14"/>
      <c r="AY26" s="14"/>
    </row>
    <row r="27" spans="1:51" s="14" customFormat="1" ht="57" customHeight="1">
      <c r="A27" s="438" t="s">
        <v>31</v>
      </c>
      <c r="B27" s="438" t="s">
        <v>548</v>
      </c>
      <c r="C27" s="438" t="s">
        <v>549</v>
      </c>
      <c r="D27" s="438" t="s">
        <v>550</v>
      </c>
      <c r="E27" s="438" t="s">
        <v>551</v>
      </c>
      <c r="F27" s="438" t="s">
        <v>552</v>
      </c>
      <c r="G27" s="438" t="s">
        <v>553</v>
      </c>
      <c r="H27" s="550" t="s">
        <v>554</v>
      </c>
      <c r="I27" s="550"/>
      <c r="J27" s="550"/>
      <c r="K27" s="550"/>
      <c r="L27" s="438" t="s">
        <v>530</v>
      </c>
    </row>
    <row r="28" spans="1:51" ht="23" customHeight="1">
      <c r="A28" s="7" t="s">
        <v>69</v>
      </c>
      <c r="B28" s="275">
        <v>2600000</v>
      </c>
      <c r="C28" s="275">
        <v>3500000</v>
      </c>
      <c r="D28" s="275">
        <v>5900000</v>
      </c>
      <c r="E28" s="275">
        <f>350000+(0.5*2600000)</f>
        <v>1650000</v>
      </c>
      <c r="F28" s="275"/>
      <c r="G28" s="275">
        <f t="shared" ref="G28:G37" si="3">SUM(B28:F28)</f>
        <v>13650000</v>
      </c>
      <c r="H28" s="551" t="s">
        <v>555</v>
      </c>
      <c r="I28" s="551"/>
      <c r="J28" s="551"/>
      <c r="K28" s="551"/>
      <c r="L28" s="262" t="s">
        <v>556</v>
      </c>
      <c r="M28" s="8"/>
      <c r="N28" s="8"/>
      <c r="O28" s="8"/>
      <c r="P28" s="8"/>
      <c r="Q28" s="8"/>
      <c r="R28" s="8"/>
      <c r="S28" s="8"/>
    </row>
    <row r="29" spans="1:51" ht="23" customHeight="1">
      <c r="A29" s="7" t="s">
        <v>70</v>
      </c>
      <c r="B29" s="275">
        <v>2100000</v>
      </c>
      <c r="C29" s="275">
        <v>4200000</v>
      </c>
      <c r="D29" s="275">
        <f>4880000+14630000</f>
        <v>19510000</v>
      </c>
      <c r="E29" s="275"/>
      <c r="F29" s="275"/>
      <c r="G29" s="275">
        <f t="shared" si="3"/>
        <v>25810000</v>
      </c>
      <c r="H29" s="551" t="s">
        <v>557</v>
      </c>
      <c r="I29" s="551"/>
      <c r="J29" s="551"/>
      <c r="K29" s="551"/>
      <c r="L29" s="262" t="s">
        <v>558</v>
      </c>
      <c r="M29" s="8"/>
      <c r="N29" s="8"/>
      <c r="O29" s="8"/>
      <c r="P29" s="8"/>
      <c r="Q29" s="8"/>
      <c r="R29" s="8"/>
      <c r="S29" s="8"/>
    </row>
    <row r="30" spans="1:51" ht="23" customHeight="1">
      <c r="A30" s="7" t="s">
        <v>74</v>
      </c>
      <c r="B30" s="275">
        <v>2000000</v>
      </c>
      <c r="C30" s="275">
        <v>5786800</v>
      </c>
      <c r="D30" s="159">
        <v>16125828</v>
      </c>
      <c r="E30" s="159">
        <v>1946700</v>
      </c>
      <c r="F30" s="275">
        <v>5000000</v>
      </c>
      <c r="G30" s="275">
        <f t="shared" si="3"/>
        <v>30859328</v>
      </c>
      <c r="H30" s="551" t="s">
        <v>559</v>
      </c>
      <c r="I30" s="551"/>
      <c r="J30" s="551"/>
      <c r="K30" s="551"/>
      <c r="L30" s="262" t="s">
        <v>560</v>
      </c>
      <c r="M30" s="8"/>
      <c r="N30" s="8"/>
      <c r="O30" s="8"/>
      <c r="P30" s="8"/>
      <c r="Q30" s="8"/>
      <c r="R30" s="8"/>
      <c r="S30" s="8"/>
    </row>
    <row r="31" spans="1:51" ht="23" customHeight="1">
      <c r="A31" s="7" t="s">
        <v>88</v>
      </c>
      <c r="B31" s="275">
        <v>1700000</v>
      </c>
      <c r="C31" s="275">
        <v>2754000</v>
      </c>
      <c r="D31" s="275">
        <f>8700000+5800000</f>
        <v>14500000</v>
      </c>
      <c r="E31" s="275"/>
      <c r="F31" s="275"/>
      <c r="G31" s="275">
        <f t="shared" si="3"/>
        <v>18954000</v>
      </c>
      <c r="H31" s="551" t="s">
        <v>561</v>
      </c>
      <c r="I31" s="551"/>
      <c r="J31" s="551"/>
      <c r="K31" s="551"/>
      <c r="L31" s="262" t="s">
        <v>562</v>
      </c>
      <c r="M31" s="8"/>
      <c r="N31" s="8"/>
      <c r="O31" s="8"/>
      <c r="P31" s="8"/>
      <c r="Q31" s="8"/>
      <c r="R31" s="8"/>
      <c r="S31" s="8"/>
    </row>
    <row r="32" spans="1:51" ht="23" customHeight="1">
      <c r="A32" s="7" t="s">
        <v>91</v>
      </c>
      <c r="B32" s="275">
        <v>150000000</v>
      </c>
      <c r="C32" s="275">
        <v>188000000</v>
      </c>
      <c r="D32" s="275">
        <f>224000000+95000000</f>
        <v>319000000</v>
      </c>
      <c r="E32" s="275">
        <v>16000000</v>
      </c>
      <c r="F32" s="275"/>
      <c r="G32" s="275">
        <f t="shared" si="3"/>
        <v>673000000</v>
      </c>
      <c r="H32" s="551" t="s">
        <v>563</v>
      </c>
      <c r="I32" s="551"/>
      <c r="J32" s="551"/>
      <c r="K32" s="551"/>
      <c r="L32" s="262" t="s">
        <v>564</v>
      </c>
      <c r="M32" s="8"/>
      <c r="N32" s="8"/>
      <c r="O32" s="8"/>
      <c r="P32" s="8"/>
      <c r="Q32" s="8"/>
      <c r="R32" s="8"/>
      <c r="S32" s="8"/>
    </row>
    <row r="33" spans="1:23" ht="23" customHeight="1">
      <c r="A33" s="7" t="s">
        <v>65</v>
      </c>
      <c r="B33" s="275">
        <v>1950000</v>
      </c>
      <c r="C33" s="275">
        <f>1890000+1039500</f>
        <v>2929500</v>
      </c>
      <c r="D33" s="275">
        <f>1656750+822500+258500+282000</f>
        <v>3019750</v>
      </c>
      <c r="E33" s="275">
        <v>700000</v>
      </c>
      <c r="F33" s="275"/>
      <c r="G33" s="275">
        <f t="shared" si="3"/>
        <v>8599250</v>
      </c>
      <c r="H33" s="551" t="s">
        <v>555</v>
      </c>
      <c r="I33" s="551"/>
      <c r="J33" s="551"/>
      <c r="K33" s="551"/>
      <c r="L33" s="262" t="s">
        <v>565</v>
      </c>
      <c r="M33" s="8"/>
      <c r="N33" s="8"/>
      <c r="O33" s="8"/>
      <c r="P33" s="8"/>
      <c r="Q33" s="8"/>
      <c r="R33" s="8"/>
      <c r="S33" s="8"/>
    </row>
    <row r="34" spans="1:23" ht="23" customHeight="1">
      <c r="A34" s="7" t="s">
        <v>71</v>
      </c>
      <c r="B34" s="275">
        <v>1664000</v>
      </c>
      <c r="C34" s="275">
        <f>832000*2</f>
        <v>1664000</v>
      </c>
      <c r="D34" s="275">
        <v>2200000</v>
      </c>
      <c r="E34" s="275">
        <v>70000</v>
      </c>
      <c r="F34" s="275"/>
      <c r="G34" s="275">
        <f t="shared" si="3"/>
        <v>5598000</v>
      </c>
      <c r="H34" s="551" t="s">
        <v>555</v>
      </c>
      <c r="I34" s="551"/>
      <c r="J34" s="551"/>
      <c r="K34" s="551"/>
      <c r="L34" s="262" t="s">
        <v>566</v>
      </c>
      <c r="M34" s="8"/>
      <c r="N34" s="8"/>
      <c r="O34" s="8"/>
      <c r="P34" s="8"/>
      <c r="Q34" s="8"/>
      <c r="R34" s="8"/>
      <c r="S34" s="8"/>
    </row>
    <row r="35" spans="1:23" ht="23" customHeight="1">
      <c r="A35" s="7" t="s">
        <v>82</v>
      </c>
      <c r="B35" s="275">
        <v>1300000</v>
      </c>
      <c r="C35" s="275">
        <f>B35*1.5</f>
        <v>1950000</v>
      </c>
      <c r="D35" s="275">
        <v>1061718</v>
      </c>
      <c r="E35" s="275">
        <v>191854</v>
      </c>
      <c r="F35" s="275"/>
      <c r="G35" s="275">
        <f t="shared" si="3"/>
        <v>4503572</v>
      </c>
      <c r="H35" s="551" t="s">
        <v>567</v>
      </c>
      <c r="I35" s="551"/>
      <c r="J35" s="551"/>
      <c r="K35" s="551"/>
      <c r="L35" s="262" t="s">
        <v>568</v>
      </c>
      <c r="M35" s="8"/>
      <c r="N35" s="8"/>
      <c r="O35" s="8"/>
      <c r="P35" s="8"/>
      <c r="Q35" s="8"/>
      <c r="R35" s="8"/>
      <c r="S35" s="8"/>
    </row>
    <row r="36" spans="1:23" ht="50" customHeight="1">
      <c r="A36" s="7" t="s">
        <v>148</v>
      </c>
      <c r="B36" s="275">
        <v>16166000</v>
      </c>
      <c r="C36" s="275">
        <v>23950000</v>
      </c>
      <c r="D36" s="275">
        <f>517000*33</f>
        <v>17061000</v>
      </c>
      <c r="E36" s="275">
        <v>19732000</v>
      </c>
      <c r="F36" s="275"/>
      <c r="G36" s="275">
        <f t="shared" si="3"/>
        <v>76909000</v>
      </c>
      <c r="H36" s="549" t="s">
        <v>569</v>
      </c>
      <c r="I36" s="549"/>
      <c r="J36" s="549"/>
      <c r="K36" s="549"/>
      <c r="L36" s="262" t="s">
        <v>570</v>
      </c>
      <c r="M36" s="8"/>
      <c r="N36" s="8"/>
      <c r="O36" s="8"/>
      <c r="P36" s="8"/>
      <c r="Q36" s="8"/>
      <c r="R36" s="8"/>
      <c r="S36" s="8"/>
    </row>
    <row r="37" spans="1:23" ht="23" customHeight="1">
      <c r="A37" s="7" t="s">
        <v>150</v>
      </c>
      <c r="B37" s="293">
        <v>0.41</v>
      </c>
      <c r="C37" s="293">
        <v>0.26</v>
      </c>
      <c r="D37" s="293">
        <v>0.33</v>
      </c>
      <c r="E37" s="293">
        <v>0</v>
      </c>
      <c r="F37" s="293"/>
      <c r="G37" s="293">
        <f t="shared" si="3"/>
        <v>1</v>
      </c>
      <c r="H37" s="548" t="s">
        <v>571</v>
      </c>
      <c r="I37" s="548"/>
      <c r="J37" s="548"/>
      <c r="K37" s="548"/>
      <c r="L37" s="262" t="s">
        <v>572</v>
      </c>
      <c r="M37" s="8"/>
      <c r="N37" s="8"/>
      <c r="O37" s="8"/>
      <c r="P37" s="8"/>
      <c r="Q37" s="8"/>
      <c r="R37" s="8"/>
      <c r="S37" s="8"/>
    </row>
    <row r="38" spans="1:23" ht="24" customHeight="1">
      <c r="F38" s="8"/>
      <c r="G38" s="8"/>
      <c r="H38" s="8"/>
      <c r="I38" s="8"/>
      <c r="J38" s="8"/>
      <c r="R38" s="8"/>
      <c r="S38" s="8"/>
    </row>
    <row r="39" spans="1:23" ht="24" customHeight="1">
      <c r="F39" s="8"/>
      <c r="G39" s="8"/>
      <c r="H39" s="8"/>
      <c r="I39" s="8"/>
      <c r="J39" s="8"/>
      <c r="O39" s="8"/>
      <c r="P39" s="305"/>
      <c r="Q39" s="305"/>
      <c r="R39" s="305"/>
      <c r="S39" s="305"/>
      <c r="T39" s="305"/>
      <c r="U39" s="306"/>
    </row>
    <row r="40" spans="1:23" ht="24" customHeight="1">
      <c r="O40" s="8"/>
      <c r="P40" s="307"/>
      <c r="Q40" s="307"/>
      <c r="R40" s="307"/>
      <c r="S40" s="23"/>
      <c r="T40" s="23"/>
      <c r="U40" s="306"/>
    </row>
    <row r="41" spans="1:23" ht="24" customHeight="1">
      <c r="O41" s="8"/>
      <c r="P41" s="307"/>
      <c r="Q41" s="307"/>
      <c r="R41" s="307"/>
      <c r="S41" s="23"/>
      <c r="T41" s="23"/>
      <c r="U41" s="306"/>
    </row>
    <row r="42" spans="1:23" ht="24" customHeight="1">
      <c r="I42" s="8"/>
      <c r="O42" s="8"/>
      <c r="P42" s="307"/>
      <c r="Q42" s="307"/>
      <c r="R42" s="307"/>
      <c r="S42" s="23"/>
      <c r="T42" s="23"/>
      <c r="U42" s="306"/>
    </row>
    <row r="43" spans="1:23" ht="24" customHeight="1">
      <c r="I43" s="8"/>
      <c r="O43" s="8"/>
      <c r="P43" s="307"/>
      <c r="Q43" s="307"/>
      <c r="R43" s="307"/>
      <c r="S43" s="23"/>
      <c r="T43" s="23"/>
      <c r="U43" s="306"/>
    </row>
    <row r="44" spans="1:23" ht="24" customHeight="1">
      <c r="I44" s="8"/>
      <c r="O44" s="8"/>
      <c r="P44" s="307"/>
      <c r="Q44" s="307"/>
      <c r="R44" s="307"/>
      <c r="S44" s="23"/>
      <c r="T44" s="23"/>
      <c r="U44" s="306"/>
    </row>
    <row r="45" spans="1:23" ht="24" customHeight="1">
      <c r="I45" s="8"/>
      <c r="O45" s="8"/>
      <c r="P45" s="307"/>
      <c r="Q45" s="307"/>
      <c r="R45" s="307"/>
      <c r="S45" s="23"/>
      <c r="T45" s="23"/>
      <c r="U45" s="306"/>
    </row>
    <row r="46" spans="1:23" ht="24" customHeight="1">
      <c r="I46" s="8"/>
      <c r="O46" s="8"/>
      <c r="P46" s="307"/>
      <c r="Q46" s="307"/>
      <c r="R46" s="307"/>
      <c r="S46" s="23"/>
      <c r="T46" s="23"/>
      <c r="U46" s="306"/>
    </row>
    <row r="47" spans="1:23" ht="24" customHeight="1">
      <c r="O47" s="8"/>
      <c r="P47" s="307"/>
      <c r="Q47" s="307"/>
      <c r="R47" s="307"/>
      <c r="S47" s="23"/>
      <c r="T47" s="23"/>
      <c r="U47" s="306"/>
    </row>
    <row r="48" spans="1:23" ht="24" customHeight="1">
      <c r="O48" s="8"/>
      <c r="P48" s="307"/>
      <c r="Q48" s="307"/>
      <c r="R48" s="307"/>
      <c r="S48" s="23"/>
      <c r="T48" s="23"/>
      <c r="U48" s="306"/>
      <c r="W48" s="85"/>
    </row>
    <row r="49" spans="15:27" ht="24" customHeight="1">
      <c r="O49" s="8"/>
      <c r="P49" s="307"/>
      <c r="Q49" s="307"/>
      <c r="R49" s="307"/>
      <c r="S49" s="306"/>
      <c r="T49" s="306"/>
      <c r="U49" s="306"/>
      <c r="V49" s="85"/>
      <c r="W49" s="85"/>
      <c r="X49" s="14"/>
      <c r="Y49" s="14"/>
      <c r="Z49" s="14"/>
    </row>
    <row r="50" spans="15:27" ht="24" customHeight="1">
      <c r="O50" s="8"/>
      <c r="P50" s="273"/>
      <c r="Q50" s="273"/>
      <c r="R50" s="273"/>
      <c r="S50" s="274"/>
      <c r="T50" s="274"/>
      <c r="U50" s="273"/>
      <c r="V50" s="274"/>
      <c r="W50" s="274"/>
      <c r="X50" s="14"/>
      <c r="Y50" s="14"/>
    </row>
    <row r="51" spans="15:27" ht="24" customHeight="1">
      <c r="O51" s="8"/>
      <c r="P51" s="8"/>
      <c r="Q51" s="8"/>
      <c r="R51" s="8"/>
      <c r="S51" s="8"/>
      <c r="T51" s="308"/>
      <c r="U51" s="14"/>
      <c r="V51" s="14"/>
      <c r="W51" s="14"/>
      <c r="X51" s="14"/>
      <c r="Y51" s="14"/>
      <c r="Z51" s="14"/>
    </row>
    <row r="52" spans="15:27" ht="24" customHeight="1">
      <c r="O52" s="8"/>
      <c r="P52" s="307"/>
      <c r="Q52" s="307"/>
      <c r="R52" s="307"/>
      <c r="S52" s="23"/>
      <c r="T52" s="23"/>
      <c r="U52" s="306"/>
      <c r="V52" s="85"/>
      <c r="W52" s="85"/>
      <c r="X52" s="14"/>
      <c r="Y52" s="14"/>
      <c r="Z52" s="14"/>
      <c r="AA52" s="14"/>
    </row>
    <row r="53" spans="15:27" ht="24" customHeight="1">
      <c r="O53" s="8"/>
      <c r="P53" s="307"/>
      <c r="Q53" s="307"/>
      <c r="R53" s="307"/>
      <c r="S53" s="23"/>
      <c r="T53" s="23"/>
      <c r="U53" s="306"/>
      <c r="V53" s="85"/>
      <c r="W53" s="85"/>
    </row>
    <row r="54" spans="15:27" ht="24" customHeight="1">
      <c r="O54" s="8"/>
      <c r="P54" s="309"/>
      <c r="Q54" s="305"/>
      <c r="R54" s="305"/>
      <c r="S54" s="305"/>
      <c r="T54" s="305"/>
      <c r="U54" s="305"/>
      <c r="V54" s="85"/>
      <c r="W54" s="85"/>
      <c r="X54" s="14"/>
      <c r="Y54" s="14"/>
      <c r="Z54" s="14"/>
    </row>
    <row r="55" spans="15:27">
      <c r="O55" s="8"/>
      <c r="P55" s="307"/>
      <c r="Q55" s="307"/>
      <c r="R55" s="307"/>
      <c r="S55" s="306"/>
      <c r="T55" s="306"/>
      <c r="U55" s="306"/>
      <c r="V55" s="85"/>
      <c r="W55" s="85"/>
      <c r="X55" s="14"/>
      <c r="Y55" s="14"/>
      <c r="Z55" s="14"/>
    </row>
  </sheetData>
  <sheetProtection algorithmName="SHA-512" hashValue="YNSYbMqzWNOD7U52nOSp1ar14G5LOqjaMBCHR59YPiti5YAbcj1eerYqqUqqzVVPuqgmT1SgV0yHxVSyBpj/vw==" saltValue="betJgA6shr3kvrn9CIG7Vg==" spinCount="100000" sheet="1" objects="1" scenarios="1" selectLockedCells="1" selectUnlockedCells="1"/>
  <autoFilter ref="A1:L1" xr:uid="{01BEC420-EE10-F542-9796-723DE9BED446}"/>
  <mergeCells count="11">
    <mergeCell ref="H37:K37"/>
    <mergeCell ref="H36:K36"/>
    <mergeCell ref="H27:K27"/>
    <mergeCell ref="H28:K28"/>
    <mergeCell ref="H29:K29"/>
    <mergeCell ref="H30:K30"/>
    <mergeCell ref="H31:K31"/>
    <mergeCell ref="H32:K32"/>
    <mergeCell ref="H33:K33"/>
    <mergeCell ref="H34:K34"/>
    <mergeCell ref="H35:K35"/>
  </mergeCells>
  <phoneticPr fontId="2" type="noConversion"/>
  <conditionalFormatting sqref="K2:K22">
    <cfRule type="colorScale" priority="1">
      <colorScale>
        <cfvo type="min"/>
        <cfvo type="num" val="0"/>
        <cfvo type="max"/>
        <color theme="0"/>
        <color theme="0"/>
        <color theme="5"/>
      </colorScale>
    </cfRule>
    <cfRule type="colorScale" priority="2">
      <colorScale>
        <cfvo type="min"/>
        <cfvo type="max"/>
        <color rgb="FFFCFCFF"/>
        <color rgb="FF63BE7B"/>
      </colorScale>
    </cfRule>
  </conditionalFormatting>
  <hyperlinks>
    <hyperlink ref="L14" r:id="rId1" location="page=110" xr:uid="{6AC4A3A2-E92A-7341-8CC0-2B8203D5D233}"/>
    <hyperlink ref="L6" r:id="rId2" xr:uid="{0F4550DC-0250-4042-8AFF-99174CC210CC}"/>
    <hyperlink ref="L4" r:id="rId3" xr:uid="{F9B53208-2B9F-C54C-A9C2-443EE67BC896}"/>
    <hyperlink ref="L9" r:id="rId4" xr:uid="{2E640255-BF1E-124A-9C43-BA8D9C8644F7}"/>
    <hyperlink ref="L11" r:id="rId5" xr:uid="{90F091FB-FC08-3B44-9CBB-566873113994}"/>
    <hyperlink ref="L8" r:id="rId6" xr:uid="{A72EA617-5BD6-2547-ADA7-036DF954E32D}"/>
    <hyperlink ref="L10" r:id="rId7" xr:uid="{25F31AA1-5FE2-9043-9C1A-5F4BD65B7ECC}"/>
    <hyperlink ref="L7" r:id="rId8" xr:uid="{E929D92C-5C17-2649-ACC5-55FBFC227ECC}"/>
    <hyperlink ref="L3" r:id="rId9" location="groups=proxyfilings&amp;list_id=tcl-list-1&amp;page=0&amp;years=2023" xr:uid="{F7B4066A-E9D4-7642-B73A-F0D8154F62D8}"/>
    <hyperlink ref="L12" r:id="rId10" xr:uid="{3F402260-F1AE-8747-94FB-4E207D7752AD}"/>
    <hyperlink ref="L13" r:id="rId11" xr:uid="{EA0A605E-986F-A041-9E2E-3574DF7C944A}"/>
    <hyperlink ref="L22" r:id="rId12" xr:uid="{1D9BB6FB-5946-6A4D-9BEA-29D4A99E903A}"/>
    <hyperlink ref="L17" r:id="rId13" xr:uid="{EEAEC9F2-B080-3140-95BA-2E4F9324F0D8}"/>
    <hyperlink ref="L16" r:id="rId14" display="https://global.honda/content/dam/site/global-en/investors/cq_img/library/form_20-f/FY202303_form20f_e.pdf" xr:uid="{45DE607F-73D3-A845-BAB8-B842F9AC49B4}"/>
  </hyperlinks>
  <pageMargins left="0.7" right="0.7" top="0.75" bottom="0.75" header="0.3" footer="0.3"/>
  <ignoredErrors>
    <ignoredError sqref="C6:G6" formula="1"/>
  </ignoredErrors>
  <legacyDrawing r:id="rId1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BEEEA-D225-514E-8BB2-BE8069A99F51}">
  <dimension ref="B2:D23"/>
  <sheetViews>
    <sheetView workbookViewId="0">
      <selection activeCell="V23" sqref="V23"/>
    </sheetView>
  </sheetViews>
  <sheetFormatPr baseColWidth="10" defaultColWidth="11" defaultRowHeight="16"/>
  <cols>
    <col min="3" max="3" width="13.6640625" customWidth="1"/>
  </cols>
  <sheetData>
    <row r="2" spans="2:4">
      <c r="B2" s="97" t="s">
        <v>573</v>
      </c>
      <c r="C2" s="98" t="s">
        <v>574</v>
      </c>
      <c r="D2" t="s">
        <v>575</v>
      </c>
    </row>
    <row r="3" spans="2:4">
      <c r="B3" s="99" t="s">
        <v>61</v>
      </c>
      <c r="C3" s="100" t="s">
        <v>61</v>
      </c>
      <c r="D3" s="100" t="s">
        <v>61</v>
      </c>
    </row>
    <row r="4" spans="2:4">
      <c r="B4" s="101" t="s">
        <v>295</v>
      </c>
      <c r="C4" s="102" t="s">
        <v>79</v>
      </c>
      <c r="D4" s="102" t="s">
        <v>295</v>
      </c>
    </row>
    <row r="5" spans="2:4">
      <c r="B5" s="101" t="s">
        <v>64</v>
      </c>
      <c r="C5" s="102" t="s">
        <v>64</v>
      </c>
      <c r="D5" s="102" t="s">
        <v>64</v>
      </c>
    </row>
    <row r="6" spans="2:4">
      <c r="B6" s="101" t="s">
        <v>65</v>
      </c>
      <c r="C6" s="101" t="s">
        <v>65</v>
      </c>
      <c r="D6" s="101" t="s">
        <v>65</v>
      </c>
    </row>
    <row r="7" spans="2:4">
      <c r="B7" s="101" t="s">
        <v>294</v>
      </c>
      <c r="C7" s="102" t="s">
        <v>81</v>
      </c>
      <c r="D7" s="102" t="s">
        <v>81</v>
      </c>
    </row>
    <row r="8" spans="2:4">
      <c r="B8" s="101" t="s">
        <v>68</v>
      </c>
      <c r="C8" s="102" t="s">
        <v>68</v>
      </c>
      <c r="D8" s="102" t="s">
        <v>68</v>
      </c>
    </row>
    <row r="9" spans="2:4">
      <c r="B9" s="101" t="s">
        <v>69</v>
      </c>
      <c r="C9" s="102" t="s">
        <v>69</v>
      </c>
      <c r="D9" s="102" t="s">
        <v>69</v>
      </c>
    </row>
    <row r="10" spans="2:4">
      <c r="B10" s="101" t="s">
        <v>89</v>
      </c>
      <c r="C10" s="102" t="s">
        <v>89</v>
      </c>
      <c r="D10" s="102" t="s">
        <v>89</v>
      </c>
    </row>
    <row r="11" spans="2:4">
      <c r="B11" s="101" t="s">
        <v>70</v>
      </c>
      <c r="C11" s="102" t="s">
        <v>70</v>
      </c>
      <c r="D11" s="102" t="s">
        <v>70</v>
      </c>
    </row>
    <row r="12" spans="2:4">
      <c r="B12" s="101" t="s">
        <v>71</v>
      </c>
      <c r="C12" s="102" t="s">
        <v>71</v>
      </c>
      <c r="D12" s="102" t="s">
        <v>71</v>
      </c>
    </row>
    <row r="13" spans="2:4">
      <c r="B13" s="101" t="s">
        <v>82</v>
      </c>
      <c r="C13" s="102" t="s">
        <v>82</v>
      </c>
      <c r="D13" s="102" t="s">
        <v>82</v>
      </c>
    </row>
    <row r="14" spans="2:4">
      <c r="B14" s="101" t="s">
        <v>76</v>
      </c>
      <c r="C14" s="101" t="s">
        <v>76</v>
      </c>
      <c r="D14" s="102" t="s">
        <v>576</v>
      </c>
    </row>
    <row r="15" spans="2:4">
      <c r="B15" s="101" t="s">
        <v>72</v>
      </c>
      <c r="C15" s="102" t="s">
        <v>72</v>
      </c>
      <c r="D15" s="102" t="s">
        <v>72</v>
      </c>
    </row>
    <row r="16" spans="2:4">
      <c r="B16" s="101" t="s">
        <v>77</v>
      </c>
      <c r="C16" s="102" t="s">
        <v>77</v>
      </c>
      <c r="D16" s="102" t="s">
        <v>77</v>
      </c>
    </row>
    <row r="17" spans="2:4">
      <c r="B17" s="101" t="s">
        <v>74</v>
      </c>
      <c r="C17" s="102" t="s">
        <v>74</v>
      </c>
      <c r="D17" s="102" t="s">
        <v>74</v>
      </c>
    </row>
    <row r="18" spans="2:4">
      <c r="B18" s="101" t="s">
        <v>191</v>
      </c>
      <c r="C18" s="102" t="s">
        <v>84</v>
      </c>
      <c r="D18" s="101" t="s">
        <v>191</v>
      </c>
    </row>
    <row r="19" spans="2:4">
      <c r="B19" s="101" t="s">
        <v>91</v>
      </c>
      <c r="C19" s="102" t="s">
        <v>91</v>
      </c>
      <c r="D19" s="102" t="s">
        <v>91</v>
      </c>
    </row>
    <row r="20" spans="2:4">
      <c r="B20" s="101" t="s">
        <v>80</v>
      </c>
      <c r="C20" s="102" t="s">
        <v>80</v>
      </c>
      <c r="D20" s="102" t="s">
        <v>80</v>
      </c>
    </row>
    <row r="21" spans="2:4">
      <c r="B21" s="101" t="s">
        <v>97</v>
      </c>
      <c r="C21" s="102" t="s">
        <v>97</v>
      </c>
      <c r="D21" s="102" t="s">
        <v>97</v>
      </c>
    </row>
    <row r="22" spans="2:4">
      <c r="B22" s="101" t="s">
        <v>99</v>
      </c>
      <c r="C22" s="102" t="s">
        <v>99</v>
      </c>
      <c r="D22" s="102" t="s">
        <v>99</v>
      </c>
    </row>
    <row r="23" spans="2:4">
      <c r="B23" s="128" t="s">
        <v>142</v>
      </c>
      <c r="C23" s="129" t="s">
        <v>142</v>
      </c>
      <c r="D23" s="129" t="s">
        <v>142</v>
      </c>
    </row>
  </sheetData>
  <phoneticPr fontId="2" type="noConversion"/>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e31f57a-30ba-4a37-a044-8a86c97b54eb">
      <Terms xmlns="http://schemas.microsoft.com/office/infopath/2007/PartnerControls"/>
    </lcf76f155ced4ddcb4097134ff3c332f>
    <TaxCatchAll xmlns="6c4ea20b-9ca4-4186-956d-2b4103157f1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F4C8ED5D9DD33418B12AEB09345B8E3" ma:contentTypeVersion="17" ma:contentTypeDescription="Create a new document." ma:contentTypeScope="" ma:versionID="3b935f84421f2edc780b22205a12c74f">
  <xsd:schema xmlns:xsd="http://www.w3.org/2001/XMLSchema" xmlns:xs="http://www.w3.org/2001/XMLSchema" xmlns:p="http://schemas.microsoft.com/office/2006/metadata/properties" xmlns:ns2="2e31f57a-30ba-4a37-a044-8a86c97b54eb" xmlns:ns3="6c4ea20b-9ca4-4186-956d-2b4103157f1e" targetNamespace="http://schemas.microsoft.com/office/2006/metadata/properties" ma:root="true" ma:fieldsID="6febc75b729a192782a0963941792b02" ns2:_="" ns3:_="">
    <xsd:import namespace="2e31f57a-30ba-4a37-a044-8a86c97b54eb"/>
    <xsd:import namespace="6c4ea20b-9ca4-4186-956d-2b4103157f1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31f57a-30ba-4a37-a044-8a86c97b54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3d0c42d-6e87-4daf-ac4d-d5283275e25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4ea20b-9ca4-4186-956d-2b4103157f1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10bd8b0e-a019-4fd8-aae2-455aafe8e135}" ma:internalName="TaxCatchAll" ma:showField="CatchAllData" ma:web="6c4ea20b-9ca4-4186-956d-2b4103157f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02A37D-402B-4A5A-A8A5-2564C35A7373}">
  <ds:schemaRefs>
    <ds:schemaRef ds:uri="http://purl.org/dc/dcmitype/"/>
    <ds:schemaRef ds:uri="http://purl.org/dc/terms/"/>
    <ds:schemaRef ds:uri="2e31f57a-30ba-4a37-a044-8a86c97b54eb"/>
    <ds:schemaRef ds:uri="http://www.w3.org/XML/1998/namespace"/>
    <ds:schemaRef ds:uri="http://schemas.microsoft.com/office/2006/metadata/properties"/>
    <ds:schemaRef ds:uri="http://purl.org/dc/elements/1.1/"/>
    <ds:schemaRef ds:uri="6c4ea20b-9ca4-4186-956d-2b4103157f1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852D489B-7949-4D02-8770-278EC4E2AAB9}">
  <ds:schemaRefs>
    <ds:schemaRef ds:uri="http://schemas.microsoft.com/sharepoint/v3/contenttype/forms"/>
  </ds:schemaRefs>
</ds:datastoreItem>
</file>

<file path=customXml/itemProps3.xml><?xml version="1.0" encoding="utf-8"?>
<ds:datastoreItem xmlns:ds="http://schemas.openxmlformats.org/officeDocument/2006/customXml" ds:itemID="{DB250A1D-DC4A-4597-98B4-5C4252F7D1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31f57a-30ba-4a37-a044-8a86c97b54eb"/>
    <ds:schemaRef ds:uri="6c4ea20b-9ca4-4186-956d-2b4103157f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Notes</vt:lpstr>
      <vt:lpstr>Summary</vt:lpstr>
      <vt:lpstr>GAR 2022 score</vt:lpstr>
      <vt:lpstr>Global sales</vt:lpstr>
      <vt:lpstr>ZEV eq sales share</vt:lpstr>
      <vt:lpstr>ZEV class coverage</vt:lpstr>
      <vt:lpstr>Energy consumption</vt:lpstr>
      <vt:lpstr>Charging speed</vt:lpstr>
      <vt:lpstr>Driving range</vt:lpstr>
      <vt:lpstr>Renewable energy</vt:lpstr>
      <vt:lpstr>Battery recycle repurpose</vt:lpstr>
      <vt:lpstr>ZEV target</vt:lpstr>
      <vt:lpstr>ZEV investment</vt:lpstr>
      <vt:lpstr>Executive compensation</vt:lpstr>
      <vt:lpstr>REF_CS-GAR OEM</vt:lpstr>
      <vt:lpstr>Chargingspeed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Zifei Yang</cp:lastModifiedBy>
  <cp:revision/>
  <dcterms:created xsi:type="dcterms:W3CDTF">2022-11-09T03:00:18Z</dcterms:created>
  <dcterms:modified xsi:type="dcterms:W3CDTF">2024-05-29T20:13:47Z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db26152-23a6-4a6e-8fcb-d99d6e3b8e71_Enabled">
    <vt:lpwstr>true</vt:lpwstr>
  </property>
  <property fmtid="{D5CDD505-2E9C-101B-9397-08002B2CF9AE}" pid="3" name="MSIP_Label_edb26152-23a6-4a6e-8fcb-d99d6e3b8e71_SetDate">
    <vt:lpwstr>2022-11-09T03:50:09Z</vt:lpwstr>
  </property>
  <property fmtid="{D5CDD505-2E9C-101B-9397-08002B2CF9AE}" pid="4" name="MSIP_Label_edb26152-23a6-4a6e-8fcb-d99d6e3b8e71_Method">
    <vt:lpwstr>Standard</vt:lpwstr>
  </property>
  <property fmtid="{D5CDD505-2E9C-101B-9397-08002B2CF9AE}" pid="5" name="MSIP_Label_edb26152-23a6-4a6e-8fcb-d99d6e3b8e71_Name">
    <vt:lpwstr>defa4170-0d19-0005-0004-bc88714345d2</vt:lpwstr>
  </property>
  <property fmtid="{D5CDD505-2E9C-101B-9397-08002B2CF9AE}" pid="6" name="MSIP_Label_edb26152-23a6-4a6e-8fcb-d99d6e3b8e71_SiteId">
    <vt:lpwstr>7fbdd19f-c389-4ced-8a04-0b5090b80cfe</vt:lpwstr>
  </property>
  <property fmtid="{D5CDD505-2E9C-101B-9397-08002B2CF9AE}" pid="7" name="MSIP_Label_edb26152-23a6-4a6e-8fcb-d99d6e3b8e71_ActionId">
    <vt:lpwstr>1301632b-39b0-4207-8e27-5f572f403f03</vt:lpwstr>
  </property>
  <property fmtid="{D5CDD505-2E9C-101B-9397-08002B2CF9AE}" pid="8" name="MSIP_Label_edb26152-23a6-4a6e-8fcb-d99d6e3b8e71_ContentBits">
    <vt:lpwstr>0</vt:lpwstr>
  </property>
  <property fmtid="{D5CDD505-2E9C-101B-9397-08002B2CF9AE}" pid="9" name="ContentTypeId">
    <vt:lpwstr>0x0101001F4C8ED5D9DD33418B12AEB09345B8E3</vt:lpwstr>
  </property>
  <property fmtid="{D5CDD505-2E9C-101B-9397-08002B2CF9AE}" pid="10" name="MediaServiceImageTags">
    <vt:lpwstr/>
  </property>
</Properties>
</file>